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filterPrivacy="1" codeName="ThisWorkbook"/>
  <xr:revisionPtr revIDLastSave="0" documentId="8_{AB34DD67-1141-41AA-A5F0-559354E0A86F}" xr6:coauthVersionLast="45" xr6:coauthVersionMax="45" xr10:uidLastSave="{00000000-0000-0000-0000-000000000000}"/>
  <bookViews>
    <workbookView xWindow="30" yWindow="0" windowWidth="25580" windowHeight="15400" xr2:uid="{00000000-000D-0000-FFFF-FFFF00000000}"/>
  </bookViews>
  <sheets>
    <sheet name="Discounted Cash Flow - EX" sheetId="1" r:id="rId1"/>
    <sheet name="Discounted Cash Flow - BLANK" sheetId="10" r:id="rId2"/>
    <sheet name="- Disclaimer -" sheetId="9" r:id="rId3"/>
  </sheets>
  <externalReferences>
    <externalReference r:id="rId4"/>
    <externalReference r:id="rId5"/>
  </externalReferences>
  <definedNames>
    <definedName name="_ITEM1" localSheetId="1">'[1]Roles &amp; Responsibilities BLANK'!#REF!</definedName>
    <definedName name="_ITEM1">'[1]Roles &amp; Responsibilities BLANK'!#REF!</definedName>
    <definedName name="_ITEM2" localSheetId="1">'[1]Roles &amp; Responsibilities BLANK'!#REF!</definedName>
    <definedName name="_ITEM2">'[1]Roles &amp; Responsibilities BLANK'!#REF!</definedName>
    <definedName name="_ITEM3" localSheetId="1">'[1]Roles &amp; Responsibilities BLANK'!#REF!</definedName>
    <definedName name="_ITEM3">'[1]Roles &amp; Responsibilities BLANK'!#REF!</definedName>
    <definedName name="_ITEM4" localSheetId="1">'[1]Roles &amp; Responsibilities BLANK'!#REF!</definedName>
    <definedName name="_ITEM4">'[1]Roles &amp; Responsibilities BLANK'!#REF!</definedName>
    <definedName name="_ITEM5" localSheetId="1">'[1]Roles &amp; Responsibilities BLANK'!#REF!</definedName>
    <definedName name="_ITEM5">'[1]Roles &amp; Responsibilities BLANK'!#REF!</definedName>
    <definedName name="_ITEM6" localSheetId="1">'[1]Roles &amp; Responsibilities BLANK'!#REF!</definedName>
    <definedName name="_ITEM6">'[1]Roles &amp; Responsibilities BLANK'!#REF!</definedName>
    <definedName name="EV" localSheetId="1">'Discounted Cash Flow - BLANK'!$C$77</definedName>
    <definedName name="EV">'Discounted Cash Flow - EX'!$C$77</definedName>
    <definedName name="Type" localSheetId="1">'[2]Maintenance Work Order'!#REF!</definedName>
    <definedName name="Type">'[2]Maintenance Work Order'!#REF!</definedName>
    <definedName name="WACC" localSheetId="1">'Discounted Cash Flow - BLANK'!$C$59</definedName>
    <definedName name="WACC">'Discounted Cash Flow - EX'!$C$59</definedName>
    <definedName name="_xlnm.Print_Area" localSheetId="1">'Discounted Cash Flow - BLANK'!$B$1:$M$94</definedName>
    <definedName name="_xlnm.Print_Area" localSheetId="0">'Discounted Cash Flow - EX'!$B$1:$M$94</definedName>
  </definedNames>
  <calcPr calcId="191029" iterate="1" iterateCount="100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0" i="10" l="1"/>
  <c r="H72" i="10"/>
  <c r="I72" i="10" s="1"/>
  <c r="J72" i="10" s="1"/>
  <c r="K72" i="10" s="1"/>
  <c r="C91" i="10" s="1"/>
  <c r="F69" i="10"/>
  <c r="E69" i="10"/>
  <c r="D69" i="10"/>
  <c r="F68" i="10"/>
  <c r="G68" i="10" s="1"/>
  <c r="E68" i="10"/>
  <c r="D68" i="10"/>
  <c r="C68" i="10"/>
  <c r="F66" i="10"/>
  <c r="E66" i="10"/>
  <c r="D66" i="10"/>
  <c r="L65" i="10"/>
  <c r="L64" i="10"/>
  <c r="C57" i="10"/>
  <c r="C58" i="10" s="1"/>
  <c r="F41" i="10"/>
  <c r="C35" i="10"/>
  <c r="C34" i="10"/>
  <c r="G33" i="10"/>
  <c r="F33" i="10"/>
  <c r="I33" i="10" s="1"/>
  <c r="G32" i="10"/>
  <c r="F32" i="10"/>
  <c r="I32" i="10" s="1"/>
  <c r="I31" i="10"/>
  <c r="G31" i="10"/>
  <c r="F31" i="10"/>
  <c r="G30" i="10"/>
  <c r="F30" i="10"/>
  <c r="I30" i="10" s="1"/>
  <c r="G29" i="10"/>
  <c r="F29" i="10"/>
  <c r="F23" i="10"/>
  <c r="E23" i="10"/>
  <c r="D23" i="10"/>
  <c r="C23" i="10"/>
  <c r="L22" i="10"/>
  <c r="F18" i="10"/>
  <c r="F20" i="10" s="1"/>
  <c r="E18" i="10"/>
  <c r="E20" i="10" s="1"/>
  <c r="D18" i="10"/>
  <c r="D20" i="10" s="1"/>
  <c r="D63" i="10" s="1"/>
  <c r="C18" i="10"/>
  <c r="C20" i="10" s="1"/>
  <c r="F17" i="10"/>
  <c r="E17" i="10"/>
  <c r="D17" i="10"/>
  <c r="C17" i="10"/>
  <c r="I16" i="10"/>
  <c r="J16" i="10" s="1"/>
  <c r="K16" i="10" s="1"/>
  <c r="H16" i="10"/>
  <c r="F16" i="10"/>
  <c r="E16" i="10"/>
  <c r="D16" i="10"/>
  <c r="L15" i="10"/>
  <c r="G15" i="10"/>
  <c r="F14" i="10"/>
  <c r="E14" i="10"/>
  <c r="D14" i="10"/>
  <c r="C14" i="10"/>
  <c r="L13" i="10"/>
  <c r="L12" i="10"/>
  <c r="H11" i="10"/>
  <c r="I11" i="10" s="1"/>
  <c r="J11" i="10" s="1"/>
  <c r="K11" i="10" s="1"/>
  <c r="F11" i="10"/>
  <c r="E11" i="10"/>
  <c r="D11" i="10"/>
  <c r="L10" i="10"/>
  <c r="G10" i="10"/>
  <c r="F9" i="10"/>
  <c r="G9" i="10" s="1"/>
  <c r="E9" i="10"/>
  <c r="D9" i="10" s="1"/>
  <c r="C9" i="10" s="1"/>
  <c r="L9" i="10" s="1"/>
  <c r="C57" i="1"/>
  <c r="C58" i="1" s="1"/>
  <c r="F9" i="1"/>
  <c r="F29" i="1"/>
  <c r="I29" i="1" s="1"/>
  <c r="G29" i="1"/>
  <c r="F30" i="1"/>
  <c r="G30" i="1"/>
  <c r="F31" i="1"/>
  <c r="I31" i="1" s="1"/>
  <c r="G31" i="1"/>
  <c r="F32" i="1"/>
  <c r="I32" i="1" s="1"/>
  <c r="G32" i="1"/>
  <c r="F33" i="1"/>
  <c r="I33" i="1" s="1"/>
  <c r="G33" i="1"/>
  <c r="C34" i="1"/>
  <c r="C35" i="1"/>
  <c r="F41" i="1"/>
  <c r="L65" i="1"/>
  <c r="L64" i="1"/>
  <c r="L22" i="1"/>
  <c r="L15" i="1"/>
  <c r="L13" i="1"/>
  <c r="L12" i="1"/>
  <c r="G14" i="10" l="1"/>
  <c r="G23" i="10"/>
  <c r="H23" i="10" s="1"/>
  <c r="I23" i="10" s="1"/>
  <c r="J23" i="10" s="1"/>
  <c r="K23" i="10" s="1"/>
  <c r="F35" i="10"/>
  <c r="G35" i="10"/>
  <c r="C47" i="10" s="1"/>
  <c r="C46" i="10" s="1"/>
  <c r="H15" i="10"/>
  <c r="G67" i="10"/>
  <c r="G69" i="10" s="1"/>
  <c r="G66" i="10"/>
  <c r="H66" i="10" s="1"/>
  <c r="E19" i="10"/>
  <c r="I15" i="10"/>
  <c r="E70" i="10"/>
  <c r="E63" i="10"/>
  <c r="E21" i="10"/>
  <c r="H9" i="10"/>
  <c r="H76" i="10"/>
  <c r="F70" i="10"/>
  <c r="F63" i="10"/>
  <c r="F21" i="10"/>
  <c r="L20" i="10"/>
  <c r="E41" i="10"/>
  <c r="C48" i="10"/>
  <c r="H14" i="10"/>
  <c r="G13" i="10"/>
  <c r="G12" i="10" s="1"/>
  <c r="G18" i="10" s="1"/>
  <c r="G22" i="10"/>
  <c r="C63" i="10"/>
  <c r="C21" i="10"/>
  <c r="G34" i="10"/>
  <c r="G76" i="10"/>
  <c r="H10" i="10"/>
  <c r="H17" i="10" s="1"/>
  <c r="L18" i="10"/>
  <c r="F19" i="10"/>
  <c r="I29" i="10"/>
  <c r="H68" i="10"/>
  <c r="D70" i="10"/>
  <c r="G17" i="10"/>
  <c r="D19" i="10"/>
  <c r="D21" i="10"/>
  <c r="F34" i="10"/>
  <c r="G34" i="1"/>
  <c r="F34" i="1"/>
  <c r="G35" i="1"/>
  <c r="C47" i="1" s="1"/>
  <c r="C46" i="1" s="1"/>
  <c r="I30" i="1"/>
  <c r="F35" i="1"/>
  <c r="H11" i="1"/>
  <c r="I11" i="1" s="1"/>
  <c r="J11" i="1" s="1"/>
  <c r="K11" i="1" s="1"/>
  <c r="C80" i="1"/>
  <c r="F17" i="1"/>
  <c r="E17" i="1"/>
  <c r="D17" i="1"/>
  <c r="C17" i="1"/>
  <c r="D18" i="1"/>
  <c r="D20" i="1" s="1"/>
  <c r="D63" i="1" s="1"/>
  <c r="F18" i="1"/>
  <c r="F20" i="1" s="1"/>
  <c r="F63" i="1" s="1"/>
  <c r="E18" i="1"/>
  <c r="E20" i="1" s="1"/>
  <c r="E63" i="1" s="1"/>
  <c r="E9" i="1"/>
  <c r="G15" i="1"/>
  <c r="H16" i="1"/>
  <c r="I16" i="1" s="1"/>
  <c r="J16" i="1" s="1"/>
  <c r="K16" i="1" s="1"/>
  <c r="F14" i="1"/>
  <c r="E14" i="1"/>
  <c r="D14" i="1"/>
  <c r="C14" i="1"/>
  <c r="F16" i="1"/>
  <c r="E16" i="1"/>
  <c r="D16" i="1"/>
  <c r="F23" i="1"/>
  <c r="E23" i="1"/>
  <c r="D23" i="1"/>
  <c r="C23" i="1"/>
  <c r="G65" i="10" l="1"/>
  <c r="L63" i="10"/>
  <c r="I35" i="10"/>
  <c r="D41" i="10" s="1"/>
  <c r="G41" i="10" s="1"/>
  <c r="C52" i="10" s="1"/>
  <c r="C54" i="10" s="1"/>
  <c r="C59" i="10" s="1"/>
  <c r="I34" i="10"/>
  <c r="I66" i="10"/>
  <c r="H65" i="10"/>
  <c r="G20" i="10"/>
  <c r="G19" i="10"/>
  <c r="I14" i="10"/>
  <c r="H13" i="10"/>
  <c r="H12" i="10" s="1"/>
  <c r="H18" i="10" s="1"/>
  <c r="I9" i="10"/>
  <c r="I76" i="10"/>
  <c r="I68" i="10"/>
  <c r="H67" i="10"/>
  <c r="I10" i="10"/>
  <c r="I17" i="10" s="1"/>
  <c r="H22" i="10"/>
  <c r="J15" i="10"/>
  <c r="E41" i="1"/>
  <c r="C48" i="1"/>
  <c r="I35" i="1"/>
  <c r="D41" i="1" s="1"/>
  <c r="I34" i="1"/>
  <c r="G14" i="1"/>
  <c r="G23" i="1"/>
  <c r="H23" i="1" s="1"/>
  <c r="I23" i="1" s="1"/>
  <c r="J23" i="1" s="1"/>
  <c r="K23" i="1" s="1"/>
  <c r="G76" i="1"/>
  <c r="H15" i="1"/>
  <c r="I15" i="1" s="1"/>
  <c r="J15" i="1" s="1"/>
  <c r="K15" i="1" s="1"/>
  <c r="M15" i="1" s="1"/>
  <c r="G9" i="1"/>
  <c r="H76" i="1" s="1"/>
  <c r="E19" i="1"/>
  <c r="F19" i="1"/>
  <c r="D9" i="1"/>
  <c r="C9" i="1" s="1"/>
  <c r="L9" i="1" s="1"/>
  <c r="L10" i="1"/>
  <c r="F66" i="1"/>
  <c r="E66" i="1"/>
  <c r="D66" i="1"/>
  <c r="H72" i="1"/>
  <c r="F11" i="1"/>
  <c r="E11" i="1"/>
  <c r="D11" i="1"/>
  <c r="G10" i="1"/>
  <c r="H19" i="10" l="1"/>
  <c r="H20" i="10"/>
  <c r="J76" i="10"/>
  <c r="J9" i="10"/>
  <c r="J68" i="10"/>
  <c r="I67" i="10"/>
  <c r="I69" i="10" s="1"/>
  <c r="J14" i="10"/>
  <c r="I13" i="10"/>
  <c r="I12" i="10" s="1"/>
  <c r="I18" i="10" s="1"/>
  <c r="I65" i="10"/>
  <c r="J66" i="10"/>
  <c r="G63" i="10"/>
  <c r="G64" i="10" s="1"/>
  <c r="G70" i="10" s="1"/>
  <c r="G21" i="10"/>
  <c r="H69" i="10"/>
  <c r="K15" i="10"/>
  <c r="J10" i="10"/>
  <c r="I22" i="10"/>
  <c r="I71" i="10"/>
  <c r="I73" i="10" s="1"/>
  <c r="H71" i="10"/>
  <c r="H73" i="10" s="1"/>
  <c r="C92" i="10"/>
  <c r="K71" i="10"/>
  <c r="K73" i="10" s="1"/>
  <c r="G71" i="10"/>
  <c r="G73" i="10" s="1"/>
  <c r="J71" i="10"/>
  <c r="J73" i="10" s="1"/>
  <c r="G41" i="1"/>
  <c r="C52" i="1" s="1"/>
  <c r="C54" i="1" s="1"/>
  <c r="C59" i="1" s="1"/>
  <c r="G17" i="1"/>
  <c r="G66" i="1"/>
  <c r="H66" i="1" s="1"/>
  <c r="I66" i="1" s="1"/>
  <c r="J66" i="1" s="1"/>
  <c r="K66" i="1" s="1"/>
  <c r="I72" i="1"/>
  <c r="H9" i="1"/>
  <c r="F69" i="1"/>
  <c r="E69" i="1"/>
  <c r="G22" i="1"/>
  <c r="F68" i="1"/>
  <c r="G68" i="1" s="1"/>
  <c r="H68" i="1" s="1"/>
  <c r="I68" i="1" s="1"/>
  <c r="J68" i="1" s="1"/>
  <c r="K68" i="1" s="1"/>
  <c r="D68" i="1"/>
  <c r="E68" i="1"/>
  <c r="H10" i="1"/>
  <c r="G74" i="10" l="1"/>
  <c r="I19" i="10"/>
  <c r="I20" i="10"/>
  <c r="J22" i="10"/>
  <c r="K10" i="10"/>
  <c r="K17" i="10" s="1"/>
  <c r="K76" i="10"/>
  <c r="K9" i="10"/>
  <c r="M9" i="10" s="1"/>
  <c r="J13" i="10"/>
  <c r="J12" i="10" s="1"/>
  <c r="J18" i="10" s="1"/>
  <c r="K14" i="10"/>
  <c r="K13" i="10" s="1"/>
  <c r="M13" i="10" s="1"/>
  <c r="M15" i="10"/>
  <c r="J65" i="10"/>
  <c r="K66" i="10"/>
  <c r="K65" i="10" s="1"/>
  <c r="M65" i="10" s="1"/>
  <c r="H63" i="10"/>
  <c r="H64" i="10" s="1"/>
  <c r="H70" i="10" s="1"/>
  <c r="H74" i="10" s="1"/>
  <c r="H21" i="10"/>
  <c r="J17" i="10"/>
  <c r="J67" i="10"/>
  <c r="K68" i="10"/>
  <c r="K67" i="10" s="1"/>
  <c r="I9" i="1"/>
  <c r="I76" i="1"/>
  <c r="G65" i="1"/>
  <c r="J72" i="1"/>
  <c r="G67" i="1"/>
  <c r="G69" i="1" s="1"/>
  <c r="H17" i="1"/>
  <c r="H65" i="1"/>
  <c r="H22" i="1"/>
  <c r="I10" i="1"/>
  <c r="I17" i="1" s="1"/>
  <c r="K69" i="10" l="1"/>
  <c r="J20" i="10"/>
  <c r="J19" i="10"/>
  <c r="J69" i="10"/>
  <c r="I63" i="10"/>
  <c r="I64" i="10" s="1"/>
  <c r="I70" i="10" s="1"/>
  <c r="I74" i="10" s="1"/>
  <c r="I21" i="10"/>
  <c r="K22" i="10"/>
  <c r="M22" i="10" s="1"/>
  <c r="K12" i="10"/>
  <c r="M10" i="10"/>
  <c r="J9" i="1"/>
  <c r="J76" i="1"/>
  <c r="K72" i="1"/>
  <c r="I65" i="1"/>
  <c r="I22" i="1"/>
  <c r="J10" i="1"/>
  <c r="J17" i="1" s="1"/>
  <c r="M12" i="10" l="1"/>
  <c r="K18" i="10"/>
  <c r="J63" i="10"/>
  <c r="J64" i="10" s="1"/>
  <c r="J70" i="10" s="1"/>
  <c r="J74" i="10" s="1"/>
  <c r="J21" i="10"/>
  <c r="K9" i="1"/>
  <c r="M9" i="1" s="1"/>
  <c r="K76" i="1"/>
  <c r="C91" i="1"/>
  <c r="J65" i="1"/>
  <c r="J22" i="1"/>
  <c r="K10" i="1"/>
  <c r="K17" i="1" s="1"/>
  <c r="K20" i="10" l="1"/>
  <c r="K19" i="10"/>
  <c r="M18" i="10"/>
  <c r="I71" i="1"/>
  <c r="I73" i="1" s="1"/>
  <c r="H71" i="1"/>
  <c r="H73" i="1" s="1"/>
  <c r="J71" i="1"/>
  <c r="J73" i="1" s="1"/>
  <c r="K71" i="1"/>
  <c r="K73" i="1" s="1"/>
  <c r="C92" i="1"/>
  <c r="G71" i="1"/>
  <c r="G73" i="1" s="1"/>
  <c r="M10" i="1"/>
  <c r="K65" i="1"/>
  <c r="M65" i="1" s="1"/>
  <c r="K22" i="1"/>
  <c r="M22" i="1" s="1"/>
  <c r="K63" i="10" l="1"/>
  <c r="K21" i="10"/>
  <c r="C88" i="10"/>
  <c r="M20" i="10"/>
  <c r="C68" i="1"/>
  <c r="D69" i="1"/>
  <c r="D70" i="1" s="1"/>
  <c r="F21" i="1"/>
  <c r="E21" i="1"/>
  <c r="E70" i="1"/>
  <c r="D21" i="1"/>
  <c r="M63" i="10" l="1"/>
  <c r="K64" i="10"/>
  <c r="F70" i="1"/>
  <c r="M64" i="10" l="1"/>
  <c r="K70" i="10"/>
  <c r="H67" i="1"/>
  <c r="H69" i="1" s="1"/>
  <c r="I67" i="1"/>
  <c r="J67" i="1"/>
  <c r="K67" i="1"/>
  <c r="C86" i="10" l="1"/>
  <c r="C89" i="10" s="1"/>
  <c r="K74" i="10"/>
  <c r="K69" i="1"/>
  <c r="I69" i="1"/>
  <c r="J69" i="1"/>
  <c r="H14" i="1"/>
  <c r="C18" i="1"/>
  <c r="L18" i="1" s="1"/>
  <c r="C90" i="10" l="1"/>
  <c r="C93" i="10"/>
  <c r="I14" i="1"/>
  <c r="J14" i="1" s="1"/>
  <c r="K14" i="1" s="1"/>
  <c r="K13" i="1" s="1"/>
  <c r="H13" i="1"/>
  <c r="H12" i="1" s="1"/>
  <c r="D19" i="1"/>
  <c r="G13" i="1"/>
  <c r="G12" i="1" s="1"/>
  <c r="C20" i="1"/>
  <c r="C77" i="10" l="1"/>
  <c r="M13" i="1"/>
  <c r="K12" i="1"/>
  <c r="M12" i="1" s="1"/>
  <c r="J13" i="1"/>
  <c r="J12" i="1" s="1"/>
  <c r="J18" i="1" s="1"/>
  <c r="J20" i="1" s="1"/>
  <c r="J63" i="1" s="1"/>
  <c r="J64" i="1" s="1"/>
  <c r="L20" i="1"/>
  <c r="C63" i="1"/>
  <c r="L63" i="1" s="1"/>
  <c r="C21" i="1"/>
  <c r="G18" i="1"/>
  <c r="H18" i="1"/>
  <c r="H20" i="1" s="1"/>
  <c r="K83" i="10" l="1"/>
  <c r="G83" i="10"/>
  <c r="I81" i="10"/>
  <c r="H77" i="10"/>
  <c r="J83" i="10"/>
  <c r="H81" i="10"/>
  <c r="K77" i="10"/>
  <c r="G77" i="10"/>
  <c r="J81" i="10"/>
  <c r="I77" i="10"/>
  <c r="I83" i="10"/>
  <c r="K81" i="10"/>
  <c r="G81" i="10"/>
  <c r="J77" i="10"/>
  <c r="H83" i="10"/>
  <c r="C81" i="10"/>
  <c r="C83" i="10" s="1"/>
  <c r="C94" i="10"/>
  <c r="K18" i="1"/>
  <c r="K20" i="1" s="1"/>
  <c r="K63" i="1" s="1"/>
  <c r="K64" i="1" s="1"/>
  <c r="H21" i="1"/>
  <c r="H63" i="1"/>
  <c r="H64" i="1" s="1"/>
  <c r="H70" i="1" s="1"/>
  <c r="H74" i="1" s="1"/>
  <c r="H19" i="1"/>
  <c r="G19" i="1"/>
  <c r="J21" i="1"/>
  <c r="G20" i="1"/>
  <c r="G21" i="1" s="1"/>
  <c r="J70" i="1"/>
  <c r="J74" i="1" s="1"/>
  <c r="M18" i="1" l="1"/>
  <c r="K19" i="1"/>
  <c r="K70" i="1"/>
  <c r="K74" i="1" s="1"/>
  <c r="C88" i="1"/>
  <c r="K21" i="1"/>
  <c r="M20" i="1"/>
  <c r="G63" i="1"/>
  <c r="C86" i="1" l="1"/>
  <c r="C89" i="1" s="1"/>
  <c r="C93" i="1" s="1"/>
  <c r="G64" i="1"/>
  <c r="M64" i="1" s="1"/>
  <c r="M63" i="1"/>
  <c r="C90" i="1" l="1"/>
  <c r="G70" i="1"/>
  <c r="G74" i="1" s="1"/>
  <c r="I13" i="1"/>
  <c r="I12" i="1" s="1"/>
  <c r="I18" i="1" s="1"/>
  <c r="I19" i="1" l="1"/>
  <c r="J19" i="1"/>
  <c r="I20" i="1"/>
  <c r="I63" i="1" l="1"/>
  <c r="I64" i="1" s="1"/>
  <c r="I70" i="1" s="1"/>
  <c r="I74" i="1" s="1"/>
  <c r="C77" i="1" s="1"/>
  <c r="I21" i="1"/>
  <c r="I83" i="1" l="1"/>
  <c r="K77" i="1"/>
  <c r="K83" i="1"/>
  <c r="H81" i="1"/>
  <c r="J83" i="1"/>
  <c r="G81" i="1"/>
  <c r="H83" i="1"/>
  <c r="J77" i="1"/>
  <c r="G83" i="1"/>
  <c r="I77" i="1"/>
  <c r="K81" i="1"/>
  <c r="H77" i="1"/>
  <c r="J81" i="1"/>
  <c r="G77" i="1"/>
  <c r="I81" i="1"/>
  <c r="C81" i="1"/>
  <c r="C83" i="1" s="1"/>
  <c r="C94" i="1"/>
</calcChain>
</file>

<file path=xl/sharedStrings.xml><?xml version="1.0" encoding="utf-8"?>
<sst xmlns="http://schemas.openxmlformats.org/spreadsheetml/2006/main" count="220" uniqueCount="95">
  <si>
    <t>EBITDA</t>
  </si>
  <si>
    <t>EBIT</t>
  </si>
  <si>
    <t>WACC</t>
  </si>
  <si>
    <t>Sales</t>
  </si>
  <si>
    <t>Capex</t>
  </si>
  <si>
    <t>CAGR</t>
  </si>
  <si>
    <t>Cost of Debt</t>
  </si>
  <si>
    <t>Debt to Total Capitalization</t>
  </si>
  <si>
    <t>Equity to Total Capitalization</t>
  </si>
  <si>
    <t>Discount Period</t>
  </si>
  <si>
    <t>Discount Factor</t>
  </si>
  <si>
    <t>Terminal Value</t>
  </si>
  <si>
    <t>Terminal Year EBITDA</t>
  </si>
  <si>
    <t>Perpetuity Growth Rate</t>
  </si>
  <si>
    <t>Terminal Year Free Cash Flow</t>
  </si>
  <si>
    <t>Net Working Capital</t>
  </si>
  <si>
    <t>% of Enterprise Value</t>
  </si>
  <si>
    <t>Plus: Cash and Cash Equi.</t>
  </si>
  <si>
    <t>Risk-free rate (2)</t>
  </si>
  <si>
    <t>Market risk Premium (3)</t>
  </si>
  <si>
    <t>Levered Beta (4)</t>
  </si>
  <si>
    <t>Size Premium (5)</t>
  </si>
  <si>
    <t>(1) From Bloomberg</t>
  </si>
  <si>
    <t>(2) Book Value of Debt</t>
  </si>
  <si>
    <t>(3) From Bloomberg</t>
  </si>
  <si>
    <t>(4) Unlevered Beta = Predicted Levered Beta / (1 + Debt/Equity) x (1-t))</t>
  </si>
  <si>
    <t>Target Company</t>
  </si>
  <si>
    <t>Debt to Equity Ratio</t>
  </si>
  <si>
    <t>Depreciation</t>
  </si>
  <si>
    <t>OPEX</t>
  </si>
  <si>
    <t>COGS</t>
  </si>
  <si>
    <t>Implied Exit Multiple</t>
  </si>
  <si>
    <t>Enterprise value ("EV")</t>
  </si>
  <si>
    <t>ACTUAL</t>
  </si>
  <si>
    <t>FORECAST PD</t>
  </si>
  <si>
    <t>TOTAL COSTS</t>
  </si>
  <si>
    <t>GROSS PROFIT</t>
  </si>
  <si>
    <t>UNLEVERED FREE CASH FLOW</t>
  </si>
  <si>
    <t>DCF-VALUATION</t>
  </si>
  <si>
    <t>IMPLIED MULTIPLES</t>
  </si>
  <si>
    <t>* HIDE ROW ON OUTPUT *</t>
  </si>
  <si>
    <t>TERMINAL VALUE</t>
  </si>
  <si>
    <t>PRESENT VALUE OF TERMINAL VALUE</t>
  </si>
  <si>
    <t>Net Sales</t>
  </si>
  <si>
    <t>Growth, %</t>
  </si>
  <si>
    <t>Margin, %</t>
  </si>
  <si>
    <t>In % of Net Sales</t>
  </si>
  <si>
    <t>PRESENT VALUE OF FREE CASH FLOW</t>
  </si>
  <si>
    <t>Less: Total Debt</t>
  </si>
  <si>
    <r>
      <t xml:space="preserve">Net Debt  </t>
    </r>
    <r>
      <rPr>
        <i/>
        <sz val="8"/>
        <color rgb="FF4D4D4D"/>
        <rFont val="Century Gothic"/>
        <family val="1"/>
      </rPr>
      <t>negative number equals net cash position</t>
    </r>
  </si>
  <si>
    <r>
      <t xml:space="preserve">Equity Value  </t>
    </r>
    <r>
      <rPr>
        <i/>
        <sz val="8"/>
        <color rgb="FF4D4D4D"/>
        <rFont val="Century Gothic"/>
        <family val="1"/>
      </rPr>
      <t>market cap</t>
    </r>
  </si>
  <si>
    <t>Outstanding Shares</t>
  </si>
  <si>
    <t>Price Per Share</t>
  </si>
  <si>
    <t>BETA and CAPITAL STRUCTURE</t>
  </si>
  <si>
    <t>MEDIAN</t>
  </si>
  <si>
    <t>MEAN</t>
  </si>
  <si>
    <t>RELEVERED BETA</t>
  </si>
  <si>
    <t>MEAN UNLEVERED BETA</t>
  </si>
  <si>
    <t>MEAN TARGET DEBT / EQUITY</t>
  </si>
  <si>
    <t>TARGET MARGINAL TAX RATE</t>
  </si>
  <si>
    <t>COMPANY</t>
  </si>
  <si>
    <t>LEVERED BETA (1)</t>
  </si>
  <si>
    <t>MARKET VALUE OF DEBT (2)</t>
  </si>
  <si>
    <t>MARKET VALUE OF EQUITY (3)</t>
  </si>
  <si>
    <t>DEBT / EQUITY</t>
  </si>
  <si>
    <t>EQUITY / TOTAL ASSETS</t>
  </si>
  <si>
    <t>TAX RATE</t>
  </si>
  <si>
    <t>COMPARABLE COMPANIES UNLEVERED BETA</t>
  </si>
  <si>
    <t>[Company 1]</t>
  </si>
  <si>
    <t>[Company 2]</t>
  </si>
  <si>
    <t>[Company 3]</t>
  </si>
  <si>
    <t>[Company 4]</t>
  </si>
  <si>
    <t>[Company 5]</t>
  </si>
  <si>
    <t>* OPTIONAL: HIDE SECTION ON OUTPUT *</t>
  </si>
  <si>
    <t>COMMENTS</t>
  </si>
  <si>
    <t>WACC CALCULATION</t>
  </si>
  <si>
    <t>TARGET CAPITAL STRUCTURE</t>
  </si>
  <si>
    <t>COST OF EQUITY</t>
  </si>
  <si>
    <t>AFTER TAX COST OF DEBT</t>
  </si>
  <si>
    <t>COST OF DEBT</t>
  </si>
  <si>
    <t>Corporate Tax Rate</t>
  </si>
  <si>
    <t>DCF continued…</t>
  </si>
  <si>
    <t>INPUT</t>
  </si>
  <si>
    <t>LAST FISCAL YEAR</t>
  </si>
  <si>
    <t>CORPORATE TAX RATE</t>
  </si>
  <si>
    <r>
      <t xml:space="preserve">DISCOUNTED CASH FLOW </t>
    </r>
    <r>
      <rPr>
        <sz val="15"/>
        <color theme="0" tint="-0.499984740745262"/>
        <rFont val="Century Gothic"/>
        <family val="1"/>
      </rPr>
      <t>(DCF)</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</si>
  <si>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</si>
  <si>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</si>
  <si>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DISCOUNTED CASH FLOW (DCF) VALUATION MODEL</t>
  </si>
  <si>
    <t>UNLEVERED BETA (4)</t>
  </si>
  <si>
    <t>Increase / Decrease in NWC</t>
  </si>
  <si>
    <r>
      <rPr>
        <b/>
        <sz val="10"/>
        <color theme="1" tint="0.34998626667073579"/>
        <rFont val="Century Gothic"/>
        <family val="1"/>
      </rPr>
      <t>NOTE</t>
    </r>
    <r>
      <rPr>
        <sz val="10"/>
        <color theme="1" tint="0.34998626667073579"/>
        <rFont val="Century Gothic"/>
        <family val="1"/>
      </rPr>
      <t xml:space="preserve">: Throughout Valuation Model, complete only non-shaded cells.  Shaded cells contain formulae which populate automatically.  </t>
    </r>
  </si>
  <si>
    <r>
      <rPr>
        <b/>
        <sz val="10"/>
        <color theme="1" tint="0.34998626667073579"/>
        <rFont val="Century Gothic"/>
        <family val="1"/>
      </rPr>
      <t>NOTE</t>
    </r>
    <r>
      <rPr>
        <sz val="10"/>
        <color theme="1" tint="0.34998626667073579"/>
        <rFont val="Century Gothic"/>
        <family val="1"/>
      </rPr>
      <t xml:space="preserve">: Throughout Valuation Model, complete only non-shaded cells (Placeholder set to "1" ). Shaded cells contain formulae which populate automatically.  </t>
    </r>
  </si>
  <si>
    <t>Tax</t>
  </si>
  <si>
    <t xml:space="preserve">Tax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</si>
</sst>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x"/>
    <numFmt numFmtId="167" formatCode="0.0\x"/>
    <numFmt numFmtId="168" formatCode="0\A"/>
    <numFmt numFmtId="169" formatCode="0&quot;E&quot;"/>
  </numFmts>
  <fonts count="43" x14ac:knownFonts="1">
    <font>
      <sz val="11"/>
      <color theme="1"/>
      <name val="Calibri"/>
      <family val="2"/>
      <scheme val="minor"/>
    </font>
    <font>
      <b/>
      <sz val="9"/>
      <color rgb="FF000000"/>
      <name val="Arial"/>
      <family val="2"/>
    </font>
    <font>
      <sz val="9"/>
      <color theme="1"/>
      <name val="Arial"/>
      <family val="2"/>
    </font>
    <font>
      <sz val="9"/>
      <color rgb="FF000000"/>
      <name val="Arial"/>
      <family val="2"/>
    </font>
    <font>
      <b/>
      <sz val="10"/>
      <color theme="1"/>
      <name val="Arial"/>
      <family val="2"/>
    </font>
    <font>
      <sz val="9"/>
      <color rgb="FF4D4D4D"/>
      <name val="Arial"/>
      <family val="2"/>
    </font>
    <font>
      <b/>
      <sz val="9"/>
      <color rgb="FF4D4D4D"/>
      <name val="Arial"/>
      <family val="2"/>
    </font>
    <font>
      <sz val="11"/>
      <color theme="1"/>
      <name val="Arial"/>
      <family val="2"/>
    </font>
    <font>
      <sz val="10"/>
      <color rgb="FF4D4D4D"/>
      <name val="Arial"/>
      <family val="2"/>
    </font>
    <font>
      <sz val="11"/>
      <color theme="1"/>
      <name val="Calibri"/>
      <family val="2"/>
      <scheme val="minor"/>
    </font>
    <font>
      <sz val="9"/>
      <color theme="1"/>
      <name val="Century Gothic"/>
      <family val="1"/>
    </font>
    <font>
      <b/>
      <u/>
      <sz val="9"/>
      <color theme="0"/>
      <name val="Century Gothic"/>
      <family val="1"/>
    </font>
    <font>
      <b/>
      <sz val="9"/>
      <color theme="0"/>
      <name val="Century Gothic"/>
      <family val="1"/>
    </font>
    <font>
      <sz val="9"/>
      <color rgb="FF4D4D4D"/>
      <name val="Century Gothic"/>
      <family val="1"/>
    </font>
    <font>
      <i/>
      <sz val="9"/>
      <color rgb="FF4D4D4D"/>
      <name val="Century Gothic"/>
      <family val="1"/>
    </font>
    <font>
      <b/>
      <sz val="9"/>
      <color rgb="FF4D4D4D"/>
      <name val="Century Gothic"/>
      <family val="1"/>
    </font>
    <font>
      <i/>
      <sz val="9"/>
      <color theme="1"/>
      <name val="Century Gothic"/>
      <family val="1"/>
    </font>
    <font>
      <b/>
      <i/>
      <sz val="9"/>
      <color rgb="FF4D4D4D"/>
      <name val="Century Gothic"/>
      <family val="1"/>
    </font>
    <font>
      <sz val="9"/>
      <color theme="0"/>
      <name val="Century Gothic"/>
      <family val="1"/>
    </font>
    <font>
      <sz val="9"/>
      <color theme="3"/>
      <name val="Century Gothic"/>
      <family val="1"/>
    </font>
    <font>
      <sz val="9"/>
      <color rgb="FF048EB0"/>
      <name val="Century Gothic"/>
      <family val="1"/>
    </font>
    <font>
      <b/>
      <sz val="9"/>
      <color theme="2"/>
      <name val="Century Gothic"/>
      <family val="1"/>
    </font>
    <font>
      <b/>
      <sz val="9"/>
      <color theme="1"/>
      <name val="Century Gothic"/>
      <family val="1"/>
    </font>
    <font>
      <b/>
      <sz val="9"/>
      <color theme="3"/>
      <name val="Century Gothic"/>
      <family val="1"/>
    </font>
    <font>
      <i/>
      <sz val="8"/>
      <color rgb="FF4D4D4D"/>
      <name val="Century Gothic"/>
      <family val="1"/>
    </font>
    <font>
      <b/>
      <sz val="12"/>
      <color theme="0" tint="-0.499984740745262"/>
      <name val="Century Gothic"/>
      <family val="1"/>
    </font>
    <font>
      <b/>
      <sz val="15"/>
      <color theme="0" tint="-0.499984740745262"/>
      <name val="Century Gothic"/>
      <family val="1"/>
    </font>
    <font>
      <i/>
      <sz val="9"/>
      <color theme="1" tint="0.34998626667073579"/>
      <name val="Century Gothic"/>
      <family val="1"/>
    </font>
    <font>
      <sz val="9"/>
      <color theme="1" tint="0.34998626667073579"/>
      <name val="Century Gothic"/>
      <family val="1"/>
    </font>
    <font>
      <sz val="9"/>
      <color rgb="FF00B050"/>
      <name val="Century Gothic"/>
      <family val="1"/>
    </font>
    <font>
      <sz val="10"/>
      <color rgb="FF4D4D4D"/>
      <name val="Century Gothic"/>
      <family val="1"/>
    </font>
    <font>
      <b/>
      <sz val="10"/>
      <color rgb="FF4D4D4D"/>
      <name val="Century Gothic"/>
      <family val="1"/>
    </font>
    <font>
      <b/>
      <sz val="10"/>
      <color theme="1"/>
      <name val="Century Gothic"/>
      <family val="1"/>
    </font>
    <font>
      <sz val="10"/>
      <color theme="1" tint="0.34998626667073579"/>
      <name val="Century Gothic"/>
      <family val="1"/>
    </font>
    <font>
      <sz val="15"/>
      <color theme="0" tint="-0.499984740745262"/>
      <name val="Century Gothic"/>
      <family val="1"/>
    </font>
    <font>
      <b/>
      <i/>
      <sz val="15"/>
      <color theme="0" tint="-0.499984740745262"/>
      <name val="Century Gothic"/>
      <family val="1"/>
    </font>
    <font>
      <sz val="22"/>
      <color theme="1"/>
      <name val="Arial"/>
      <family val="2"/>
    </font>
    <font>
      <b/>
      <sz val="20"/>
      <color theme="0" tint="-0.499984740745262"/>
      <name val="Century Gothic"/>
      <family val="1"/>
    </font>
    <font>
      <b/>
      <sz val="20"/>
      <color theme="0" tint="-0.34998626667073579"/>
      <name val="Century Gothic"/>
      <family val="1"/>
    </font>
    <font>
      <sz val="12"/>
      <color theme="1"/>
      <name val="Arial"/>
      <family val="2"/>
    </font>
    <font>
      <b/>
      <sz val="10"/>
      <color theme="1" tint="0.34998626667073579"/>
      <name val="Century Gothic"/>
      <family val="1"/>
    </font>
    <font>
      <u/>
      <sz val="11"/>
      <color theme="10"/>
      <name val="Calibri"/>
      <family val="2"/>
      <scheme val="minor"/>
    </font>
    <font>
      <b/>
      <sz val="22"/>
      <color theme="0"/>
      <name val="Century Gothic"/>
      <family val="2"/>
    </font>
  </fonts>
  <fills count="13">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26">
    <border>
      <left/>
      <right/>
      <top/>
      <bottom/>
      <diagonal/>
    </border>
    <border>
      <left/>
      <right/>
      <top style="thin">
        <color theme="4"/>
      </top>
      <bottom style="double">
        <color theme="4"/>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top style="thin">
        <color theme="0" tint="-0.249977111117893"/>
      </top>
      <bottom style="double">
        <color theme="0" tint="-0.249977111117893"/>
      </bottom>
      <diagonal/>
    </border>
    <border>
      <left/>
      <right style="hair">
        <color theme="0" tint="-0.249977111117893"/>
      </right>
      <top/>
      <bottom/>
      <diagonal/>
    </border>
    <border>
      <left/>
      <right style="hair">
        <color theme="0" tint="-0.249977111117893"/>
      </right>
      <top style="thin">
        <color theme="0" tint="-0.249977111117893"/>
      </top>
      <bottom style="thin">
        <color theme="0" tint="-0.249977111117893"/>
      </bottom>
      <diagonal/>
    </border>
    <border>
      <left/>
      <right style="hair">
        <color theme="0" tint="-0.249977111117893"/>
      </right>
      <top style="thin">
        <color theme="0" tint="-0.249977111117893"/>
      </top>
      <bottom style="double">
        <color theme="0" tint="-0.249977111117893"/>
      </bottom>
      <diagonal/>
    </border>
    <border>
      <left/>
      <right/>
      <top/>
      <bottom style="hair">
        <color theme="0" tint="-0.249977111117893"/>
      </bottom>
      <diagonal/>
    </border>
    <border>
      <left/>
      <right/>
      <top style="hair">
        <color theme="0" tint="-0.249977111117893"/>
      </top>
      <bottom style="hair">
        <color theme="0" tint="-0.249977111117893"/>
      </bottom>
      <diagonal/>
    </border>
    <border>
      <left/>
      <right/>
      <top style="hair">
        <color theme="0" tint="-0.249977111117893"/>
      </top>
      <bottom/>
      <diagonal/>
    </border>
    <border>
      <left/>
      <right/>
      <top style="hair">
        <color theme="0" tint="-0.249977111117893"/>
      </top>
      <bottom style="double">
        <color theme="0" tint="-0.249977111117893"/>
      </bottom>
      <diagonal/>
    </border>
    <border>
      <left/>
      <right style="hair">
        <color theme="0" tint="-0.249977111117893"/>
      </right>
      <top/>
      <bottom style="hair">
        <color theme="0" tint="-0.249977111117893"/>
      </bottom>
      <diagonal/>
    </border>
    <border>
      <left/>
      <right style="hair">
        <color theme="0" tint="-0.249977111117893"/>
      </right>
      <top style="hair">
        <color theme="0" tint="-0.249977111117893"/>
      </top>
      <bottom style="hair">
        <color theme="0" tint="-0.249977111117893"/>
      </bottom>
      <diagonal/>
    </border>
    <border>
      <left/>
      <right style="hair">
        <color theme="0" tint="-0.249977111117893"/>
      </right>
      <top style="hair">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hair">
        <color theme="0" tint="-0.249977111117893"/>
      </bottom>
      <diagonal/>
    </border>
    <border>
      <left style="thick">
        <color theme="0" tint="-0.249977111117893"/>
      </left>
      <right/>
      <top style="hair">
        <color theme="0" tint="-0.249977111117893"/>
      </top>
      <bottom style="hair">
        <color theme="0" tint="-0.249977111117893"/>
      </bottom>
      <diagonal/>
    </border>
    <border>
      <left style="thick">
        <color theme="0" tint="-0.249977111117893"/>
      </left>
      <right/>
      <top style="hair">
        <color theme="0" tint="-0.249977111117893"/>
      </top>
      <bottom style="double">
        <color theme="0" tint="-0.249977111117893"/>
      </bottom>
      <diagonal/>
    </border>
    <border>
      <left style="thick">
        <color theme="0" tint="-0.249977111117893"/>
      </left>
      <right/>
      <top style="hair">
        <color theme="0" tint="-0.249977111117893"/>
      </top>
      <bottom/>
      <diagonal/>
    </border>
    <border>
      <left style="thick">
        <color theme="0" tint="-0.34998626667073579"/>
      </left>
      <right/>
      <top/>
      <bottom/>
      <diagonal/>
    </border>
  </borders>
  <cellStyleXfs count="4">
    <xf numFmtId="0" fontId="0" fillId="0" borderId="0"/>
    <xf numFmtId="0" fontId="4" fillId="0" borderId="1" applyNumberFormat="0" applyFill="0" applyAlignment="0" applyProtection="0"/>
    <xf numFmtId="0" fontId="9" fillId="0" borderId="0"/>
    <xf numFmtId="0" fontId="41" fillId="0" borderId="0" applyNumberFormat="0" applyFill="0" applyBorder="0" applyAlignment="0" applyProtection="0"/>
  </cellStyleXfs>
  <cellXfs count="251">
    <xf numFmtId="0" fontId="0" fillId="0" borderId="0" xfId="0"/>
    <xf numFmtId="0" fontId="1" fillId="0" borderId="0" xfId="0" applyFont="1" applyAlignment="1">
      <alignment vertical="center" wrapText="1" readingOrder="1"/>
    </xf>
    <xf numFmtId="3" fontId="3" fillId="0" borderId="0" xfId="0" applyNumberFormat="1" applyFont="1" applyAlignment="1">
      <alignment horizontal="right" vertical="center" wrapText="1" readingOrder="1"/>
    </xf>
    <xf numFmtId="0" fontId="2" fillId="0" borderId="0" xfId="0" applyFont="1" applyAlignment="1">
      <alignment vertical="center" wrapText="1" readingOrder="1"/>
    </xf>
    <xf numFmtId="9" fontId="2" fillId="0" borderId="0" xfId="0" applyNumberFormat="1" applyFont="1" applyAlignment="1">
      <alignment horizontal="right" vertical="center" wrapText="1" readingOrder="1"/>
    </xf>
    <xf numFmtId="0" fontId="1" fillId="0" borderId="0" xfId="0" applyFont="1" applyAlignment="1">
      <alignment horizontal="right" vertical="center" wrapText="1" readingOrder="1"/>
    </xf>
    <xf numFmtId="0" fontId="3" fillId="0" borderId="0" xfId="0" applyFont="1" applyAlignment="1">
      <alignment horizontal="right" vertical="center" wrapText="1" readingOrder="1"/>
    </xf>
    <xf numFmtId="3" fontId="3" fillId="0" borderId="0" xfId="0" applyNumberFormat="1" applyFont="1" applyAlignment="1">
      <alignment horizontal="right" vertical="center" wrapText="1"/>
    </xf>
    <xf numFmtId="0" fontId="2" fillId="0" borderId="0" xfId="0" applyFont="1" applyAlignment="1">
      <alignment horizontal="right" vertical="center" wrapText="1" readingOrder="1"/>
    </xf>
    <xf numFmtId="0" fontId="3" fillId="0" borderId="0" xfId="0" applyFont="1" applyAlignment="1">
      <alignment vertical="center" wrapText="1" readingOrder="1"/>
    </xf>
    <xf numFmtId="3" fontId="3" fillId="2" borderId="0" xfId="0" applyNumberFormat="1" applyFont="1" applyFill="1" applyBorder="1" applyAlignment="1">
      <alignment horizontal="right" vertical="center" wrapText="1" readingOrder="1"/>
    </xf>
    <xf numFmtId="0" fontId="3" fillId="0" borderId="0" xfId="0" applyFont="1" applyAlignment="1">
      <alignment horizontal="left" vertical="center" wrapText="1" readingOrder="1"/>
    </xf>
    <xf numFmtId="3" fontId="3" fillId="0" borderId="0" xfId="0" applyNumberFormat="1" applyFont="1" applyFill="1" applyBorder="1" applyAlignment="1">
      <alignment horizontal="left" vertical="center" readingOrder="1"/>
    </xf>
    <xf numFmtId="3" fontId="3" fillId="0" borderId="0" xfId="0" applyNumberFormat="1" applyFont="1" applyBorder="1" applyAlignment="1">
      <alignment horizontal="left" vertical="center" readingOrder="1"/>
    </xf>
    <xf numFmtId="3" fontId="5" fillId="0" borderId="0" xfId="0" applyNumberFormat="1" applyFont="1" applyFill="1" applyBorder="1" applyAlignment="1">
      <alignment horizontal="right" vertical="center" wrapText="1" readingOrder="1"/>
    </xf>
    <xf numFmtId="0" fontId="5" fillId="0" borderId="0" xfId="0" applyFont="1" applyFill="1" applyBorder="1" applyAlignment="1">
      <alignment horizontal="left" vertical="center" wrapText="1" readingOrder="1"/>
    </xf>
    <xf numFmtId="164" fontId="5" fillId="0" borderId="0" xfId="0" applyNumberFormat="1" applyFont="1" applyFill="1" applyBorder="1" applyAlignment="1">
      <alignment horizontal="right" vertical="center" wrapText="1" readingOrder="1"/>
    </xf>
    <xf numFmtId="3" fontId="6" fillId="0" borderId="0" xfId="0" applyNumberFormat="1" applyFont="1" applyFill="1" applyBorder="1" applyAlignment="1">
      <alignment horizontal="right" vertical="center" wrapText="1" readingOrder="1"/>
    </xf>
    <xf numFmtId="164" fontId="6" fillId="0" borderId="0" xfId="0" applyNumberFormat="1" applyFont="1" applyFill="1" applyBorder="1" applyAlignment="1">
      <alignment horizontal="right" vertical="center" wrapText="1" readingOrder="1"/>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9" fontId="5" fillId="0" borderId="0" xfId="0" applyNumberFormat="1" applyFont="1" applyFill="1" applyBorder="1" applyAlignment="1">
      <alignment vertical="center"/>
    </xf>
    <xf numFmtId="0" fontId="5" fillId="0" borderId="0" xfId="0" applyFont="1" applyFill="1" applyBorder="1" applyAlignment="1">
      <alignment vertical="center"/>
    </xf>
    <xf numFmtId="0" fontId="2" fillId="2" borderId="0" xfId="0" applyFont="1" applyFill="1" applyAlignment="1">
      <alignment vertical="center"/>
    </xf>
    <xf numFmtId="0" fontId="2" fillId="0" borderId="0" xfId="0" applyFont="1" applyAlignment="1">
      <alignment horizontal="right" vertical="center"/>
    </xf>
    <xf numFmtId="0" fontId="5" fillId="0" borderId="0" xfId="0" applyFont="1" applyBorder="1" applyAlignment="1">
      <alignment vertical="center"/>
    </xf>
    <xf numFmtId="0" fontId="7" fillId="0" borderId="0" xfId="0" applyFont="1" applyAlignment="1">
      <alignment vertical="center"/>
    </xf>
    <xf numFmtId="0" fontId="8" fillId="0" borderId="0" xfId="0" applyFont="1" applyFill="1" applyBorder="1" applyAlignment="1">
      <alignment vertical="center"/>
    </xf>
    <xf numFmtId="164" fontId="8" fillId="0" borderId="0" xfId="0" applyNumberFormat="1" applyFont="1" applyFill="1" applyBorder="1" applyAlignment="1">
      <alignment horizontal="right" vertical="center" wrapText="1" readingOrder="1"/>
    </xf>
    <xf numFmtId="0" fontId="8" fillId="0" borderId="0" xfId="0" applyFont="1" applyFill="1" applyBorder="1" applyAlignment="1">
      <alignment horizontal="left" vertical="center"/>
    </xf>
    <xf numFmtId="0" fontId="5" fillId="0" borderId="0" xfId="0" applyFont="1" applyFill="1" applyBorder="1" applyAlignment="1">
      <alignment horizontal="left" vertical="center" readingOrder="1"/>
    </xf>
    <xf numFmtId="3" fontId="5" fillId="0" borderId="0" xfId="0" applyNumberFormat="1" applyFont="1" applyBorder="1" applyAlignment="1">
      <alignment horizontal="right" vertical="center" wrapText="1" readingOrder="1"/>
    </xf>
    <xf numFmtId="3" fontId="5" fillId="0" borderId="0" xfId="0" applyNumberFormat="1" applyFont="1" applyBorder="1" applyAlignment="1">
      <alignment horizontal="left" vertical="center" readingOrder="1"/>
    </xf>
    <xf numFmtId="3" fontId="5" fillId="0" borderId="0" xfId="0" applyNumberFormat="1" applyFont="1" applyAlignment="1">
      <alignment horizontal="right" vertical="center" wrapText="1" readingOrder="1"/>
    </xf>
    <xf numFmtId="3" fontId="5" fillId="2" borderId="0" xfId="0" applyNumberFormat="1" applyFont="1" applyFill="1" applyBorder="1" applyAlignment="1">
      <alignment horizontal="right" vertical="center" wrapText="1" readingOrder="1"/>
    </xf>
    <xf numFmtId="0" fontId="5" fillId="2" borderId="0" xfId="0" applyFont="1" applyFill="1" applyBorder="1" applyAlignment="1">
      <alignment vertical="center"/>
    </xf>
    <xf numFmtId="0" fontId="5" fillId="2" borderId="0" xfId="0" applyFont="1" applyFill="1" applyAlignment="1">
      <alignment vertical="center"/>
    </xf>
    <xf numFmtId="3" fontId="5" fillId="2" borderId="0" xfId="0" applyNumberFormat="1" applyFont="1" applyFill="1" applyAlignment="1">
      <alignment horizontal="right" vertical="center" wrapText="1" readingOrder="1"/>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Fill="1" applyAlignment="1">
      <alignment vertical="center"/>
    </xf>
    <xf numFmtId="0" fontId="3" fillId="0" borderId="0" xfId="0" applyFont="1" applyAlignment="1">
      <alignment horizontal="left" vertical="center" wrapText="1" readingOrder="1"/>
    </xf>
    <xf numFmtId="0" fontId="10" fillId="0" borderId="0" xfId="0" applyFont="1" applyAlignment="1">
      <alignment vertical="center"/>
    </xf>
    <xf numFmtId="0" fontId="10" fillId="0" borderId="0" xfId="0" applyFont="1" applyFill="1" applyBorder="1" applyAlignment="1">
      <alignment vertical="center"/>
    </xf>
    <xf numFmtId="0" fontId="10" fillId="0" borderId="0" xfId="0" applyFont="1" applyBorder="1" applyAlignment="1">
      <alignment vertical="center"/>
    </xf>
    <xf numFmtId="0" fontId="13" fillId="0" borderId="0" xfId="0" applyFont="1" applyFill="1" applyBorder="1" applyAlignment="1">
      <alignment horizontal="left" vertical="center" wrapText="1" readingOrder="1"/>
    </xf>
    <xf numFmtId="3" fontId="13" fillId="0" borderId="0" xfId="0" applyNumberFormat="1" applyFont="1" applyFill="1" applyBorder="1" applyAlignment="1">
      <alignment horizontal="right" vertical="center" wrapText="1" readingOrder="1"/>
    </xf>
    <xf numFmtId="164" fontId="10" fillId="0" borderId="0" xfId="0" applyNumberFormat="1" applyFont="1" applyFill="1" applyBorder="1" applyAlignment="1">
      <alignment vertical="center"/>
    </xf>
    <xf numFmtId="164" fontId="13" fillId="0" borderId="0" xfId="0" applyNumberFormat="1" applyFont="1" applyFill="1" applyBorder="1" applyAlignment="1">
      <alignment horizontal="right" vertical="center" wrapText="1" readingOrder="1"/>
    </xf>
    <xf numFmtId="0" fontId="16" fillId="0" borderId="0" xfId="0" applyFont="1" applyBorder="1" applyAlignment="1">
      <alignment vertical="center"/>
    </xf>
    <xf numFmtId="1" fontId="10" fillId="0" borderId="0" xfId="0" applyNumberFormat="1" applyFont="1" applyFill="1" applyBorder="1" applyAlignment="1">
      <alignment vertical="center"/>
    </xf>
    <xf numFmtId="3" fontId="19" fillId="0" borderId="0" xfId="0" applyNumberFormat="1" applyFont="1" applyFill="1" applyBorder="1" applyAlignment="1">
      <alignment vertical="center"/>
    </xf>
    <xf numFmtId="3" fontId="15" fillId="0" borderId="0" xfId="0" applyNumberFormat="1" applyFont="1" applyFill="1" applyBorder="1" applyAlignment="1">
      <alignment horizontal="right" vertical="center" wrapText="1" readingOrder="1"/>
    </xf>
    <xf numFmtId="0" fontId="18" fillId="0" borderId="0" xfId="0" applyFont="1" applyFill="1" applyBorder="1" applyAlignment="1">
      <alignment vertical="center" textRotation="90"/>
    </xf>
    <xf numFmtId="0" fontId="13" fillId="0" borderId="0" xfId="0" applyFont="1" applyBorder="1" applyAlignment="1">
      <alignment vertical="center"/>
    </xf>
    <xf numFmtId="0" fontId="15" fillId="0" borderId="0" xfId="0" applyFont="1" applyFill="1" applyBorder="1" applyAlignment="1">
      <alignment vertical="center"/>
    </xf>
    <xf numFmtId="0" fontId="13" fillId="0" borderId="0" xfId="0" applyFont="1" applyFill="1" applyBorder="1" applyAlignment="1">
      <alignment vertical="center"/>
    </xf>
    <xf numFmtId="3" fontId="20" fillId="0" borderId="0" xfId="0" applyNumberFormat="1" applyFont="1" applyFill="1" applyBorder="1" applyAlignment="1">
      <alignment vertical="center"/>
    </xf>
    <xf numFmtId="3" fontId="21" fillId="0" borderId="0" xfId="0" applyNumberFormat="1" applyFont="1" applyFill="1" applyBorder="1" applyAlignment="1">
      <alignment vertical="center"/>
    </xf>
    <xf numFmtId="164" fontId="22" fillId="0" borderId="0" xfId="0" applyNumberFormat="1" applyFont="1" applyFill="1" applyBorder="1" applyAlignment="1">
      <alignment vertical="center"/>
    </xf>
    <xf numFmtId="164" fontId="23" fillId="0" borderId="0" xfId="0" applyNumberFormat="1" applyFont="1" applyFill="1" applyBorder="1" applyAlignment="1">
      <alignment vertical="center"/>
    </xf>
    <xf numFmtId="0" fontId="12" fillId="0" borderId="0" xfId="0" applyFont="1" applyFill="1" applyBorder="1" applyAlignment="1">
      <alignment vertical="center" textRotation="90"/>
    </xf>
    <xf numFmtId="3" fontId="10" fillId="0" borderId="0" xfId="0" applyNumberFormat="1" applyFont="1" applyFill="1" applyBorder="1" applyAlignment="1">
      <alignment vertical="center"/>
    </xf>
    <xf numFmtId="3" fontId="22" fillId="0" borderId="0" xfId="0" applyNumberFormat="1" applyFont="1" applyFill="1" applyBorder="1" applyAlignment="1">
      <alignment vertical="center"/>
    </xf>
    <xf numFmtId="168" fontId="12" fillId="3" borderId="0" xfId="0" applyNumberFormat="1" applyFont="1" applyFill="1" applyBorder="1" applyAlignment="1">
      <alignment horizontal="center" vertical="center" wrapText="1" readingOrder="1"/>
    </xf>
    <xf numFmtId="0" fontId="12" fillId="5" borderId="0" xfId="0" applyFont="1" applyFill="1" applyBorder="1" applyAlignment="1">
      <alignment horizontal="left" vertical="center" wrapText="1" indent="1" readingOrder="1"/>
    </xf>
    <xf numFmtId="0" fontId="12" fillId="6" borderId="0" xfId="0" applyFont="1" applyFill="1" applyBorder="1" applyAlignment="1">
      <alignment horizontal="left" vertical="center" indent="1"/>
    </xf>
    <xf numFmtId="0" fontId="12" fillId="6" borderId="0" xfId="0" applyFont="1" applyFill="1" applyBorder="1" applyAlignment="1">
      <alignment horizontal="center" vertical="center"/>
    </xf>
    <xf numFmtId="0" fontId="11" fillId="6" borderId="0" xfId="0" applyFont="1" applyFill="1" applyBorder="1" applyAlignment="1">
      <alignment horizontal="center" vertical="center"/>
    </xf>
    <xf numFmtId="169" fontId="12" fillId="7" borderId="0" xfId="0" applyNumberFormat="1" applyFont="1" applyFill="1" applyBorder="1" applyAlignment="1">
      <alignment horizontal="center" vertical="center"/>
    </xf>
    <xf numFmtId="168" fontId="12" fillId="4" borderId="0" xfId="0" applyNumberFormat="1" applyFont="1" applyFill="1" applyBorder="1" applyAlignment="1">
      <alignment horizontal="center" vertical="center" wrapText="1" readingOrder="1"/>
    </xf>
    <xf numFmtId="0" fontId="12" fillId="4" borderId="0" xfId="0" applyFont="1" applyFill="1" applyBorder="1" applyAlignment="1">
      <alignment horizontal="left" vertical="center" wrapText="1" indent="1" readingOrder="1"/>
    </xf>
    <xf numFmtId="3" fontId="15" fillId="8" borderId="0" xfId="0" applyNumberFormat="1" applyFont="1" applyFill="1" applyBorder="1" applyAlignment="1">
      <alignment vertical="center"/>
    </xf>
    <xf numFmtId="0" fontId="22" fillId="0" borderId="3" xfId="0" applyFont="1" applyBorder="1" applyAlignment="1">
      <alignment vertical="center"/>
    </xf>
    <xf numFmtId="0" fontId="15" fillId="8" borderId="0" xfId="0" applyFont="1" applyFill="1" applyBorder="1" applyAlignment="1">
      <alignment vertical="center"/>
    </xf>
    <xf numFmtId="0" fontId="13" fillId="8" borderId="0" xfId="0" applyFont="1" applyFill="1" applyBorder="1" applyAlignment="1">
      <alignment horizontal="left" vertical="center" wrapText="1" indent="1" readingOrder="1"/>
    </xf>
    <xf numFmtId="0" fontId="13" fillId="8" borderId="0" xfId="0" applyFont="1" applyFill="1" applyBorder="1" applyAlignment="1">
      <alignment horizontal="left" vertical="center" indent="1"/>
    </xf>
    <xf numFmtId="3" fontId="13" fillId="8" borderId="0" xfId="0" applyNumberFormat="1" applyFont="1" applyFill="1" applyBorder="1" applyAlignment="1">
      <alignment horizontal="right" vertical="center" wrapText="1" readingOrder="1"/>
    </xf>
    <xf numFmtId="0" fontId="13" fillId="8" borderId="0" xfId="0" applyFont="1" applyFill="1" applyBorder="1" applyAlignment="1">
      <alignment vertical="center"/>
    </xf>
    <xf numFmtId="3" fontId="13" fillId="8" borderId="0" xfId="0" applyNumberFormat="1" applyFont="1" applyFill="1" applyBorder="1" applyAlignment="1">
      <alignment vertical="center"/>
    </xf>
    <xf numFmtId="0" fontId="10" fillId="8" borderId="0" xfId="0" applyFont="1" applyFill="1" applyBorder="1" applyAlignment="1">
      <alignment vertical="center"/>
    </xf>
    <xf numFmtId="0" fontId="13" fillId="8" borderId="4" xfId="0" applyFont="1" applyFill="1" applyBorder="1" applyAlignment="1">
      <alignment vertical="center"/>
    </xf>
    <xf numFmtId="0" fontId="13" fillId="8" borderId="3" xfId="0" applyFont="1" applyFill="1" applyBorder="1" applyAlignment="1">
      <alignment vertical="center"/>
    </xf>
    <xf numFmtId="4" fontId="13" fillId="8" borderId="3" xfId="0" applyNumberFormat="1" applyFont="1" applyFill="1" applyBorder="1" applyAlignment="1">
      <alignment vertical="center"/>
    </xf>
    <xf numFmtId="0" fontId="15" fillId="0" borderId="3" xfId="0" applyFont="1" applyFill="1" applyBorder="1" applyAlignment="1">
      <alignment horizontal="left" vertical="center" wrapText="1" readingOrder="1"/>
    </xf>
    <xf numFmtId="3" fontId="13" fillId="0" borderId="3" xfId="0" applyNumberFormat="1" applyFont="1" applyFill="1" applyBorder="1" applyAlignment="1">
      <alignment horizontal="right" vertical="center" wrapText="1" readingOrder="1"/>
    </xf>
    <xf numFmtId="0" fontId="12" fillId="5" borderId="6" xfId="0" applyFont="1" applyFill="1" applyBorder="1" applyAlignment="1">
      <alignment horizontal="left" vertical="center" wrapText="1" indent="1" readingOrder="1"/>
    </xf>
    <xf numFmtId="168" fontId="12" fillId="3" borderId="6" xfId="0" applyNumberFormat="1" applyFont="1" applyFill="1" applyBorder="1" applyAlignment="1">
      <alignment horizontal="center" vertical="center" wrapText="1" readingOrder="1"/>
    </xf>
    <xf numFmtId="0" fontId="11" fillId="6" borderId="6" xfId="0" applyFont="1" applyFill="1" applyBorder="1" applyAlignment="1">
      <alignment horizontal="center" vertical="center"/>
    </xf>
    <xf numFmtId="169" fontId="12" fillId="7" borderId="6" xfId="0" applyNumberFormat="1" applyFont="1" applyFill="1" applyBorder="1" applyAlignment="1">
      <alignment horizontal="center" vertical="center"/>
    </xf>
    <xf numFmtId="0" fontId="15" fillId="11" borderId="0" xfId="0" applyFont="1" applyFill="1" applyBorder="1" applyAlignment="1">
      <alignment horizontal="left" vertical="center"/>
    </xf>
    <xf numFmtId="0" fontId="15" fillId="11" borderId="2" xfId="0" applyFont="1" applyFill="1" applyBorder="1" applyAlignment="1">
      <alignment horizontal="left" vertical="center" wrapText="1" readingOrder="1"/>
    </xf>
    <xf numFmtId="3" fontId="15" fillId="11" borderId="2" xfId="0" applyNumberFormat="1" applyFont="1" applyFill="1" applyBorder="1" applyAlignment="1">
      <alignment horizontal="right" vertical="center" wrapText="1" readingOrder="1"/>
    </xf>
    <xf numFmtId="0" fontId="15" fillId="11" borderId="5" xfId="0" applyFont="1" applyFill="1" applyBorder="1" applyAlignment="1">
      <alignment horizontal="left" vertical="center" wrapText="1" readingOrder="1"/>
    </xf>
    <xf numFmtId="0" fontId="15" fillId="11" borderId="2" xfId="0" applyFont="1" applyFill="1" applyBorder="1" applyAlignment="1">
      <alignment horizontal="left" vertical="center"/>
    </xf>
    <xf numFmtId="0" fontId="14" fillId="9" borderId="0" xfId="0" applyFont="1" applyFill="1" applyBorder="1" applyAlignment="1">
      <alignment horizontal="left" vertical="center" wrapText="1" indent="1" readingOrder="1"/>
    </xf>
    <xf numFmtId="9" fontId="14" fillId="9" borderId="0" xfId="0" applyNumberFormat="1" applyFont="1" applyFill="1" applyBorder="1" applyAlignment="1">
      <alignment horizontal="right" vertical="center" wrapText="1" readingOrder="1"/>
    </xf>
    <xf numFmtId="0" fontId="13" fillId="8" borderId="0" xfId="0" applyFont="1" applyFill="1" applyBorder="1" applyAlignment="1">
      <alignment horizontal="left" vertical="center" wrapText="1" readingOrder="1"/>
    </xf>
    <xf numFmtId="3" fontId="14" fillId="8" borderId="0" xfId="0" applyNumberFormat="1" applyFont="1" applyFill="1" applyBorder="1" applyAlignment="1">
      <alignment horizontal="left" vertical="center" indent="1"/>
    </xf>
    <xf numFmtId="166" fontId="14" fillId="8" borderId="0" xfId="0" applyNumberFormat="1" applyFont="1" applyFill="1" applyBorder="1" applyAlignment="1">
      <alignment horizontal="right" vertical="center" wrapText="1" readingOrder="1"/>
    </xf>
    <xf numFmtId="165" fontId="13" fillId="8" borderId="0" xfId="0" applyNumberFormat="1" applyFont="1" applyFill="1" applyBorder="1" applyAlignment="1">
      <alignment horizontal="right" vertical="center" wrapText="1" readingOrder="1"/>
    </xf>
    <xf numFmtId="0" fontId="13" fillId="9" borderId="0" xfId="0" applyFont="1" applyFill="1" applyBorder="1" applyAlignment="1">
      <alignment horizontal="left" vertical="center" wrapText="1" readingOrder="1"/>
    </xf>
    <xf numFmtId="0" fontId="14" fillId="9" borderId="0" xfId="0" applyFont="1" applyFill="1" applyBorder="1" applyAlignment="1">
      <alignment horizontal="left" vertical="center" indent="1"/>
    </xf>
    <xf numFmtId="0" fontId="13" fillId="9" borderId="0" xfId="0" applyFont="1" applyFill="1" applyBorder="1" applyAlignment="1">
      <alignment horizontal="left" vertical="center"/>
    </xf>
    <xf numFmtId="0" fontId="15" fillId="0" borderId="0" xfId="0" applyFont="1" applyFill="1" applyAlignment="1">
      <alignment vertical="center"/>
    </xf>
    <xf numFmtId="0" fontId="13" fillId="2" borderId="0" xfId="0" applyFont="1" applyFill="1" applyAlignment="1">
      <alignment vertical="center"/>
    </xf>
    <xf numFmtId="0" fontId="13" fillId="2" borderId="0" xfId="0" applyFont="1" applyFill="1" applyAlignment="1">
      <alignment horizontal="center" vertical="center" wrapText="1"/>
    </xf>
    <xf numFmtId="0" fontId="13" fillId="2" borderId="0" xfId="0" applyFont="1" applyFill="1" applyBorder="1" applyAlignment="1">
      <alignment vertical="center"/>
    </xf>
    <xf numFmtId="2" fontId="15" fillId="11" borderId="9" xfId="0" applyNumberFormat="1" applyFont="1" applyFill="1" applyBorder="1" applyAlignment="1">
      <alignment horizontal="center" vertical="center"/>
    </xf>
    <xf numFmtId="164" fontId="15" fillId="11" borderId="9" xfId="0" applyNumberFormat="1" applyFont="1" applyFill="1" applyBorder="1" applyAlignment="1">
      <alignment horizontal="center" vertical="center"/>
    </xf>
    <xf numFmtId="9" fontId="15" fillId="11" borderId="9" xfId="0" applyNumberFormat="1" applyFont="1" applyFill="1" applyBorder="1" applyAlignment="1">
      <alignment horizontal="center" vertical="center"/>
    </xf>
    <xf numFmtId="2" fontId="15" fillId="11" borderId="11" xfId="0" applyNumberFormat="1" applyFont="1" applyFill="1" applyBorder="1" applyAlignment="1">
      <alignment horizontal="center" vertical="center"/>
    </xf>
    <xf numFmtId="164" fontId="15" fillId="11" borderId="11" xfId="0" applyNumberFormat="1" applyFont="1" applyFill="1" applyBorder="1" applyAlignment="1">
      <alignment horizontal="center" vertical="center"/>
    </xf>
    <xf numFmtId="9" fontId="15" fillId="11" borderId="11" xfId="0" applyNumberFormat="1" applyFont="1" applyFill="1" applyBorder="1" applyAlignment="1">
      <alignment horizontal="center" vertical="center"/>
    </xf>
    <xf numFmtId="0" fontId="13" fillId="10" borderId="10" xfId="0" applyFont="1" applyFill="1" applyBorder="1" applyAlignment="1">
      <alignment vertical="center"/>
    </xf>
    <xf numFmtId="2" fontId="13" fillId="10" borderId="10" xfId="0" applyNumberFormat="1" applyFont="1" applyFill="1" applyBorder="1" applyAlignment="1">
      <alignment horizontal="center" vertical="center"/>
    </xf>
    <xf numFmtId="164" fontId="13" fillId="10" borderId="10" xfId="0" applyNumberFormat="1" applyFont="1" applyFill="1" applyBorder="1" applyAlignment="1">
      <alignment horizontal="center" vertical="center"/>
    </xf>
    <xf numFmtId="9" fontId="13" fillId="10" borderId="10" xfId="0" applyNumberFormat="1" applyFont="1" applyFill="1" applyBorder="1" applyAlignment="1">
      <alignment horizontal="center" vertical="center"/>
    </xf>
    <xf numFmtId="2" fontId="13" fillId="11" borderId="10" xfId="0" applyNumberFormat="1" applyFont="1" applyFill="1" applyBorder="1" applyAlignment="1">
      <alignment horizontal="center" vertical="center"/>
    </xf>
    <xf numFmtId="164" fontId="13" fillId="9" borderId="0" xfId="0" applyNumberFormat="1" applyFont="1" applyFill="1" applyAlignment="1">
      <alignment horizontal="center" vertical="center"/>
    </xf>
    <xf numFmtId="2" fontId="13" fillId="9" borderId="0" xfId="0" applyNumberFormat="1" applyFont="1" applyFill="1" applyAlignment="1">
      <alignment horizontal="center" vertical="center"/>
    </xf>
    <xf numFmtId="0" fontId="15" fillId="8" borderId="9" xfId="0" applyFont="1" applyFill="1" applyBorder="1" applyAlignment="1">
      <alignment horizontal="center" vertical="center" wrapText="1"/>
    </xf>
    <xf numFmtId="0" fontId="15" fillId="8" borderId="0" xfId="0" applyFont="1" applyFill="1" applyBorder="1" applyAlignment="1">
      <alignment vertical="center" wrapText="1"/>
    </xf>
    <xf numFmtId="0" fontId="15" fillId="8" borderId="0" xfId="0" applyFont="1" applyFill="1" applyBorder="1" applyAlignment="1">
      <alignment horizontal="center" vertical="center" wrapText="1"/>
    </xf>
    <xf numFmtId="0" fontId="15" fillId="9" borderId="0" xfId="0" applyFont="1" applyFill="1" applyBorder="1" applyAlignment="1">
      <alignment horizontal="center" vertical="center" wrapText="1"/>
    </xf>
    <xf numFmtId="3" fontId="13" fillId="0" borderId="0" xfId="0" applyNumberFormat="1" applyFont="1" applyFill="1" applyBorder="1" applyAlignment="1">
      <alignment horizontal="center" vertical="center" wrapText="1" readingOrder="1"/>
    </xf>
    <xf numFmtId="3" fontId="13" fillId="0" borderId="6" xfId="0" applyNumberFormat="1" applyFont="1" applyFill="1" applyBorder="1" applyAlignment="1">
      <alignment horizontal="center" vertical="center" wrapText="1" readingOrder="1"/>
    </xf>
    <xf numFmtId="3" fontId="13" fillId="8" borderId="0" xfId="0" applyNumberFormat="1" applyFont="1" applyFill="1" applyBorder="1" applyAlignment="1">
      <alignment horizontal="center" vertical="center" wrapText="1" readingOrder="1"/>
    </xf>
    <xf numFmtId="3" fontId="13" fillId="8" borderId="6" xfId="0" applyNumberFormat="1" applyFont="1" applyFill="1" applyBorder="1" applyAlignment="1">
      <alignment horizontal="center" vertical="center" wrapText="1" readingOrder="1"/>
    </xf>
    <xf numFmtId="164" fontId="14" fillId="9" borderId="0" xfId="0" applyNumberFormat="1" applyFont="1" applyFill="1" applyBorder="1" applyAlignment="1">
      <alignment horizontal="center" vertical="center" wrapText="1" readingOrder="1"/>
    </xf>
    <xf numFmtId="164" fontId="14" fillId="9" borderId="6" xfId="0" applyNumberFormat="1" applyFont="1" applyFill="1" applyBorder="1" applyAlignment="1">
      <alignment horizontal="center" vertical="center" wrapText="1" readingOrder="1"/>
    </xf>
    <xf numFmtId="3" fontId="13" fillId="0" borderId="0" xfId="0" applyNumberFormat="1" applyFont="1" applyFill="1" applyBorder="1" applyAlignment="1">
      <alignment horizontal="center" vertical="center"/>
    </xf>
    <xf numFmtId="3" fontId="13" fillId="0" borderId="6" xfId="0" applyNumberFormat="1" applyFont="1" applyFill="1" applyBorder="1" applyAlignment="1">
      <alignment horizontal="center" vertical="center"/>
    </xf>
    <xf numFmtId="3" fontId="13" fillId="8" borderId="0" xfId="0" applyNumberFormat="1" applyFont="1" applyFill="1" applyBorder="1" applyAlignment="1">
      <alignment horizontal="center" vertical="center"/>
    </xf>
    <xf numFmtId="3" fontId="13" fillId="8" borderId="6" xfId="0" applyNumberFormat="1" applyFont="1" applyFill="1" applyBorder="1" applyAlignment="1">
      <alignment horizontal="center" vertical="center"/>
    </xf>
    <xf numFmtId="164" fontId="13" fillId="9" borderId="0" xfId="0" applyNumberFormat="1" applyFont="1" applyFill="1" applyBorder="1" applyAlignment="1">
      <alignment horizontal="center" vertical="center" wrapText="1" readingOrder="1"/>
    </xf>
    <xf numFmtId="3" fontId="15" fillId="11" borderId="0" xfId="0" applyNumberFormat="1" applyFont="1" applyFill="1" applyBorder="1" applyAlignment="1">
      <alignment horizontal="center" vertical="center"/>
    </xf>
    <xf numFmtId="3" fontId="15" fillId="11" borderId="6" xfId="0" applyNumberFormat="1" applyFont="1" applyFill="1" applyBorder="1" applyAlignment="1">
      <alignment horizontal="center" vertical="center"/>
    </xf>
    <xf numFmtId="3" fontId="15" fillId="10" borderId="0" xfId="0" applyNumberFormat="1" applyFont="1" applyFill="1" applyBorder="1" applyAlignment="1">
      <alignment horizontal="center" vertical="center"/>
    </xf>
    <xf numFmtId="3" fontId="15" fillId="10" borderId="6" xfId="0" applyNumberFormat="1" applyFont="1" applyFill="1" applyBorder="1" applyAlignment="1">
      <alignment horizontal="center" vertical="center"/>
    </xf>
    <xf numFmtId="164" fontId="15" fillId="11" borderId="0" xfId="0" applyNumberFormat="1" applyFont="1" applyFill="1" applyBorder="1" applyAlignment="1">
      <alignment horizontal="center" vertical="center" wrapText="1" readingOrder="1"/>
    </xf>
    <xf numFmtId="164" fontId="14" fillId="8" borderId="0" xfId="0" applyNumberFormat="1" applyFont="1" applyFill="1" applyBorder="1" applyAlignment="1">
      <alignment horizontal="center" vertical="center" wrapText="1" readingOrder="1"/>
    </xf>
    <xf numFmtId="164" fontId="14" fillId="8" borderId="6" xfId="0" applyNumberFormat="1" applyFont="1" applyFill="1" applyBorder="1" applyAlignment="1">
      <alignment horizontal="center" vertical="center" wrapText="1" readingOrder="1"/>
    </xf>
    <xf numFmtId="3" fontId="15" fillId="11" borderId="2" xfId="0" applyNumberFormat="1" applyFont="1" applyFill="1" applyBorder="1" applyAlignment="1">
      <alignment horizontal="center" vertical="center" wrapText="1" readingOrder="1"/>
    </xf>
    <xf numFmtId="3" fontId="15" fillId="11" borderId="7" xfId="0" applyNumberFormat="1" applyFont="1" applyFill="1" applyBorder="1" applyAlignment="1">
      <alignment horizontal="center" vertical="center" wrapText="1" readingOrder="1"/>
    </xf>
    <xf numFmtId="3" fontId="15" fillId="10" borderId="2" xfId="0" applyNumberFormat="1" applyFont="1" applyFill="1" applyBorder="1" applyAlignment="1">
      <alignment horizontal="center" vertical="center" wrapText="1" readingOrder="1"/>
    </xf>
    <xf numFmtId="3" fontId="15" fillId="10" borderId="7" xfId="0" applyNumberFormat="1" applyFont="1" applyFill="1" applyBorder="1" applyAlignment="1">
      <alignment horizontal="center" vertical="center" wrapText="1" readingOrder="1"/>
    </xf>
    <xf numFmtId="164" fontId="17" fillId="11" borderId="2" xfId="0" applyNumberFormat="1" applyFont="1" applyFill="1" applyBorder="1" applyAlignment="1">
      <alignment horizontal="center" vertical="center" wrapText="1" readingOrder="1"/>
    </xf>
    <xf numFmtId="3" fontId="15" fillId="11" borderId="2" xfId="0" applyNumberFormat="1" applyFont="1" applyFill="1" applyBorder="1" applyAlignment="1">
      <alignment horizontal="center" vertical="center"/>
    </xf>
    <xf numFmtId="3" fontId="15" fillId="11" borderId="7" xfId="0" applyNumberFormat="1" applyFont="1" applyFill="1" applyBorder="1" applyAlignment="1">
      <alignment horizontal="center" vertical="center"/>
    </xf>
    <xf numFmtId="3" fontId="15" fillId="10" borderId="2" xfId="0" applyNumberFormat="1" applyFont="1" applyFill="1" applyBorder="1" applyAlignment="1">
      <alignment horizontal="center" vertical="center"/>
    </xf>
    <xf numFmtId="3" fontId="15" fillId="10" borderId="7" xfId="0" applyNumberFormat="1" applyFont="1" applyFill="1" applyBorder="1" applyAlignment="1">
      <alignment horizontal="center" vertical="center"/>
    </xf>
    <xf numFmtId="1" fontId="13" fillId="8" borderId="0" xfId="0" applyNumberFormat="1" applyFont="1" applyFill="1" applyBorder="1" applyAlignment="1">
      <alignment horizontal="center" vertical="center"/>
    </xf>
    <xf numFmtId="1" fontId="13" fillId="8" borderId="6" xfId="0" applyNumberFormat="1" applyFont="1" applyFill="1" applyBorder="1" applyAlignment="1">
      <alignment horizontal="center" vertical="center"/>
    </xf>
    <xf numFmtId="164" fontId="27" fillId="0" borderId="0" xfId="0" applyNumberFormat="1" applyFont="1" applyFill="1" applyBorder="1" applyAlignment="1">
      <alignment horizontal="center" vertical="center"/>
    </xf>
    <xf numFmtId="164" fontId="27" fillId="8" borderId="0" xfId="0" applyNumberFormat="1" applyFont="1" applyFill="1" applyBorder="1" applyAlignment="1">
      <alignment horizontal="center" vertical="center"/>
    </xf>
    <xf numFmtId="164" fontId="27" fillId="8" borderId="6" xfId="0" applyNumberFormat="1" applyFont="1" applyFill="1" applyBorder="1" applyAlignment="1">
      <alignment horizontal="center" vertical="center"/>
    </xf>
    <xf numFmtId="164" fontId="27" fillId="8" borderId="0" xfId="0" applyNumberFormat="1" applyFont="1" applyFill="1" applyBorder="1" applyAlignment="1">
      <alignment horizontal="center" vertical="center" wrapText="1" readingOrder="1"/>
    </xf>
    <xf numFmtId="164" fontId="27" fillId="8" borderId="6" xfId="0" applyNumberFormat="1" applyFont="1" applyFill="1" applyBorder="1" applyAlignment="1">
      <alignment horizontal="center" vertical="center" wrapText="1" readingOrder="1"/>
    </xf>
    <xf numFmtId="0" fontId="28" fillId="2" borderId="0" xfId="0" applyFont="1" applyFill="1" applyAlignment="1">
      <alignment horizontal="center" vertical="center"/>
    </xf>
    <xf numFmtId="1" fontId="28" fillId="2" borderId="0" xfId="0" applyNumberFormat="1" applyFont="1" applyFill="1" applyAlignment="1">
      <alignment horizontal="center" vertical="center"/>
    </xf>
    <xf numFmtId="9" fontId="28" fillId="2" borderId="0" xfId="0" applyNumberFormat="1" applyFont="1" applyFill="1" applyAlignment="1">
      <alignment horizontal="center" vertical="center"/>
    </xf>
    <xf numFmtId="3" fontId="28" fillId="0" borderId="0" xfId="0" applyNumberFormat="1" applyFont="1" applyFill="1" applyBorder="1" applyAlignment="1">
      <alignment horizontal="right" vertical="center" wrapText="1" readingOrder="1"/>
    </xf>
    <xf numFmtId="164" fontId="28" fillId="0" borderId="0" xfId="0" applyNumberFormat="1" applyFont="1" applyFill="1" applyBorder="1" applyAlignment="1">
      <alignment horizontal="right" vertical="center" wrapText="1" readingOrder="1"/>
    </xf>
    <xf numFmtId="0" fontId="29" fillId="8" borderId="0" xfId="0" applyFont="1" applyFill="1" applyBorder="1" applyAlignment="1">
      <alignment horizontal="left" vertical="center" indent="1"/>
    </xf>
    <xf numFmtId="3" fontId="13" fillId="0" borderId="10" xfId="0" applyNumberFormat="1" applyFont="1" applyBorder="1" applyAlignment="1">
      <alignment horizontal="left" vertical="center" wrapText="1" readingOrder="1"/>
    </xf>
    <xf numFmtId="3" fontId="13" fillId="0" borderId="10" xfId="0" applyNumberFormat="1" applyFont="1" applyBorder="1" applyAlignment="1">
      <alignment horizontal="right" vertical="center" wrapText="1" readingOrder="1"/>
    </xf>
    <xf numFmtId="164" fontId="32" fillId="11" borderId="12" xfId="1" applyNumberFormat="1" applyFont="1" applyFill="1" applyBorder="1" applyAlignment="1">
      <alignment horizontal="right" vertical="center" wrapText="1" readingOrder="1"/>
    </xf>
    <xf numFmtId="3" fontId="32" fillId="11" borderId="12" xfId="1" applyNumberFormat="1" applyFont="1" applyFill="1" applyBorder="1" applyAlignment="1">
      <alignment horizontal="left" vertical="center" wrapText="1" readingOrder="1"/>
    </xf>
    <xf numFmtId="3" fontId="32" fillId="11" borderId="12" xfId="1" applyNumberFormat="1" applyFont="1" applyFill="1" applyBorder="1" applyAlignment="1">
      <alignment horizontal="right" vertical="center" wrapText="1" readingOrder="1"/>
    </xf>
    <xf numFmtId="3" fontId="13" fillId="11" borderId="12" xfId="0" applyNumberFormat="1" applyFont="1" applyFill="1" applyBorder="1" applyAlignment="1">
      <alignment horizontal="right" vertical="center" wrapText="1" readingOrder="1"/>
    </xf>
    <xf numFmtId="164" fontId="13" fillId="8" borderId="0" xfId="0" applyNumberFormat="1" applyFont="1" applyFill="1" applyBorder="1" applyAlignment="1">
      <alignment horizontal="left" vertical="center"/>
    </xf>
    <xf numFmtId="0" fontId="30" fillId="8" borderId="0" xfId="0" applyFont="1" applyFill="1" applyBorder="1" applyAlignment="1">
      <alignment vertical="center"/>
    </xf>
    <xf numFmtId="164" fontId="13" fillId="8" borderId="0" xfId="0" applyNumberFormat="1" applyFont="1" applyFill="1" applyBorder="1" applyAlignment="1">
      <alignment horizontal="center" vertical="center" wrapText="1" readingOrder="1"/>
    </xf>
    <xf numFmtId="4" fontId="13" fillId="8" borderId="0" xfId="0" applyNumberFormat="1" applyFont="1" applyFill="1" applyBorder="1" applyAlignment="1">
      <alignment horizontal="center" vertical="center" wrapText="1" readingOrder="1"/>
    </xf>
    <xf numFmtId="164" fontId="15" fillId="10" borderId="10" xfId="0" applyNumberFormat="1" applyFont="1" applyFill="1" applyBorder="1" applyAlignment="1">
      <alignment horizontal="right" vertical="center" wrapText="1" readingOrder="1"/>
    </xf>
    <xf numFmtId="3" fontId="13" fillId="10" borderId="10" xfId="0" applyNumberFormat="1" applyFont="1" applyFill="1" applyBorder="1" applyAlignment="1">
      <alignment horizontal="left" vertical="center" wrapText="1" readingOrder="1"/>
    </xf>
    <xf numFmtId="3" fontId="13" fillId="10" borderId="10" xfId="0" applyNumberFormat="1" applyFont="1" applyFill="1" applyBorder="1" applyAlignment="1">
      <alignment horizontal="right" vertical="center" wrapText="1" readingOrder="1"/>
    </xf>
    <xf numFmtId="0" fontId="13" fillId="8" borderId="6" xfId="0" applyFont="1" applyFill="1" applyBorder="1" applyAlignment="1">
      <alignment horizontal="right" vertical="center"/>
    </xf>
    <xf numFmtId="164" fontId="13" fillId="8" borderId="6" xfId="0" applyNumberFormat="1" applyFont="1" applyFill="1" applyBorder="1" applyAlignment="1">
      <alignment horizontal="center" vertical="center"/>
    </xf>
    <xf numFmtId="164" fontId="13" fillId="8" borderId="6" xfId="0" applyNumberFormat="1" applyFont="1" applyFill="1" applyBorder="1" applyAlignment="1">
      <alignment horizontal="center" vertical="center" wrapText="1" readingOrder="1"/>
    </xf>
    <xf numFmtId="164" fontId="28" fillId="0" borderId="6" xfId="0" applyNumberFormat="1" applyFont="1" applyFill="1" applyBorder="1" applyAlignment="1">
      <alignment horizontal="center" vertical="center" wrapText="1" readingOrder="1"/>
    </xf>
    <xf numFmtId="4" fontId="13" fillId="8" borderId="6" xfId="0" applyNumberFormat="1" applyFont="1" applyFill="1" applyBorder="1" applyAlignment="1">
      <alignment horizontal="center" vertical="center" wrapText="1" readingOrder="1"/>
    </xf>
    <xf numFmtId="164" fontId="28" fillId="0" borderId="13" xfId="0" applyNumberFormat="1" applyFont="1" applyFill="1" applyBorder="1" applyAlignment="1">
      <alignment horizontal="center" vertical="center" wrapText="1" readingOrder="1"/>
    </xf>
    <xf numFmtId="164" fontId="15" fillId="10" borderId="14" xfId="0" applyNumberFormat="1" applyFont="1" applyFill="1" applyBorder="1" applyAlignment="1">
      <alignment horizontal="center" vertical="center"/>
    </xf>
    <xf numFmtId="9" fontId="13" fillId="9" borderId="6" xfId="0" applyNumberFormat="1" applyFont="1" applyFill="1" applyBorder="1" applyAlignment="1">
      <alignment horizontal="center" vertical="center"/>
    </xf>
    <xf numFmtId="164" fontId="13" fillId="9" borderId="13" xfId="0" applyNumberFormat="1" applyFont="1" applyFill="1" applyBorder="1" applyAlignment="1">
      <alignment horizontal="center" vertical="center" wrapText="1" readingOrder="1"/>
    </xf>
    <xf numFmtId="164" fontId="15" fillId="10" borderId="14" xfId="0" applyNumberFormat="1" applyFont="1" applyFill="1" applyBorder="1" applyAlignment="1">
      <alignment horizontal="center" vertical="center" wrapText="1" readingOrder="1"/>
    </xf>
    <xf numFmtId="164" fontId="31" fillId="11" borderId="15" xfId="1" applyNumberFormat="1" applyFont="1" applyFill="1" applyBorder="1" applyAlignment="1">
      <alignment horizontal="center" vertical="center" wrapText="1" readingOrder="1"/>
    </xf>
    <xf numFmtId="164" fontId="15" fillId="0" borderId="10" xfId="0" applyNumberFormat="1" applyFont="1" applyFill="1" applyBorder="1" applyAlignment="1">
      <alignment horizontal="left" vertical="center" indent="1"/>
    </xf>
    <xf numFmtId="0" fontId="15" fillId="8" borderId="0" xfId="0" applyFont="1" applyFill="1" applyBorder="1" applyAlignment="1">
      <alignment horizontal="left" vertical="center" indent="1"/>
    </xf>
    <xf numFmtId="0" fontId="10" fillId="9" borderId="19" xfId="0" applyFont="1" applyFill="1" applyBorder="1" applyAlignment="1">
      <alignment horizontal="left" vertical="center" indent="1"/>
    </xf>
    <xf numFmtId="0" fontId="10" fillId="9" borderId="16" xfId="0" applyFont="1" applyFill="1" applyBorder="1" applyAlignment="1">
      <alignment horizontal="left" vertical="center" indent="1"/>
    </xf>
    <xf numFmtId="0" fontId="33" fillId="0" borderId="17" xfId="0" applyFont="1" applyBorder="1" applyAlignment="1">
      <alignment horizontal="center" vertical="center"/>
    </xf>
    <xf numFmtId="9" fontId="33" fillId="0" borderId="18" xfId="0" applyNumberFormat="1" applyFont="1" applyBorder="1" applyAlignment="1">
      <alignment horizontal="center" vertical="center"/>
    </xf>
    <xf numFmtId="0" fontId="29" fillId="0" borderId="20" xfId="0" applyFont="1" applyFill="1" applyBorder="1" applyAlignment="1">
      <alignment horizontal="left" vertical="center" indent="1"/>
    </xf>
    <xf numFmtId="0" fontId="15" fillId="8" borderId="20" xfId="0" applyFont="1" applyFill="1" applyBorder="1" applyAlignment="1">
      <alignment horizontal="left" vertical="center" indent="1"/>
    </xf>
    <xf numFmtId="0" fontId="13" fillId="8" borderId="20" xfId="0" applyFont="1" applyFill="1" applyBorder="1" applyAlignment="1">
      <alignment horizontal="left" vertical="center" indent="1"/>
    </xf>
    <xf numFmtId="0" fontId="13" fillId="8" borderId="21" xfId="0" applyFont="1" applyFill="1" applyBorder="1" applyAlignment="1">
      <alignment horizontal="left" vertical="center" indent="1"/>
    </xf>
    <xf numFmtId="0" fontId="15" fillId="10" borderId="22" xfId="0" applyFont="1" applyFill="1" applyBorder="1" applyAlignment="1">
      <alignment horizontal="left" vertical="center" indent="1"/>
    </xf>
    <xf numFmtId="0" fontId="15" fillId="9" borderId="20" xfId="0" applyFont="1" applyFill="1" applyBorder="1" applyAlignment="1">
      <alignment horizontal="left" vertical="center" indent="1"/>
    </xf>
    <xf numFmtId="0" fontId="13" fillId="9" borderId="20" xfId="0" applyFont="1" applyFill="1" applyBorder="1" applyAlignment="1">
      <alignment horizontal="left" vertical="center" indent="1"/>
    </xf>
    <xf numFmtId="0" fontId="13" fillId="9" borderId="21" xfId="0" applyFont="1" applyFill="1" applyBorder="1" applyAlignment="1">
      <alignment horizontal="left" vertical="center" indent="1"/>
    </xf>
    <xf numFmtId="0" fontId="31" fillId="11" borderId="23" xfId="1" applyFont="1" applyFill="1" applyBorder="1" applyAlignment="1">
      <alignment horizontal="left" vertical="center" indent="1"/>
    </xf>
    <xf numFmtId="0" fontId="25" fillId="0" borderId="20" xfId="0" applyFont="1" applyFill="1" applyBorder="1" applyAlignment="1">
      <alignment horizontal="left" vertical="center" indent="1"/>
    </xf>
    <xf numFmtId="0" fontId="15" fillId="8" borderId="21" xfId="0" applyFont="1" applyFill="1" applyBorder="1" applyAlignment="1">
      <alignment horizontal="left" vertical="center" indent="1"/>
    </xf>
    <xf numFmtId="0" fontId="13" fillId="2" borderId="24" xfId="0" applyFont="1" applyFill="1" applyBorder="1" applyAlignment="1">
      <alignment horizontal="left" vertical="center" indent="1"/>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5" fillId="11" borderId="24" xfId="0" applyFont="1" applyFill="1" applyBorder="1" applyAlignment="1">
      <alignment horizontal="left" vertical="center" indent="1"/>
    </xf>
    <xf numFmtId="0" fontId="15" fillId="11" borderId="21" xfId="0" applyFont="1" applyFill="1" applyBorder="1" applyAlignment="1">
      <alignment horizontal="left" vertical="center" indent="1"/>
    </xf>
    <xf numFmtId="0" fontId="13" fillId="2" borderId="20" xfId="0" applyFont="1" applyFill="1" applyBorder="1" applyAlignment="1">
      <alignment horizontal="left" vertical="center" indent="1" readingOrder="1"/>
    </xf>
    <xf numFmtId="0" fontId="15" fillId="8" borderId="20" xfId="0" applyFont="1" applyFill="1" applyBorder="1" applyAlignment="1">
      <alignment horizontal="left" vertical="center" wrapText="1" indent="1"/>
    </xf>
    <xf numFmtId="0" fontId="13" fillId="10" borderId="22" xfId="0" applyFont="1" applyFill="1" applyBorder="1" applyAlignment="1">
      <alignment horizontal="left" vertical="center" indent="1"/>
    </xf>
    <xf numFmtId="0" fontId="26" fillId="0" borderId="0" xfId="0" applyFont="1" applyFill="1" applyAlignment="1">
      <alignment vertical="top"/>
    </xf>
    <xf numFmtId="0" fontId="26" fillId="0" borderId="20" xfId="0" applyFont="1" applyFill="1" applyBorder="1" applyAlignment="1">
      <alignment horizontal="left" vertical="top" indent="1"/>
    </xf>
    <xf numFmtId="0" fontId="13" fillId="0" borderId="0" xfId="0" applyFont="1" applyFill="1" applyAlignment="1">
      <alignment vertical="center"/>
    </xf>
    <xf numFmtId="0" fontId="30" fillId="0" borderId="0" xfId="0" applyFont="1" applyFill="1" applyAlignment="1">
      <alignment vertical="center"/>
    </xf>
    <xf numFmtId="0" fontId="35" fillId="0" borderId="0" xfId="0" applyFont="1" applyFill="1" applyAlignment="1">
      <alignment horizontal="left" vertical="top" indent="1"/>
    </xf>
    <xf numFmtId="3" fontId="13" fillId="9" borderId="0" xfId="0" applyNumberFormat="1" applyFont="1" applyFill="1" applyBorder="1" applyAlignment="1">
      <alignment horizontal="center" vertical="center" wrapText="1" readingOrder="1"/>
    </xf>
    <xf numFmtId="9" fontId="17" fillId="9" borderId="0" xfId="0" applyNumberFormat="1" applyFont="1" applyFill="1" applyBorder="1" applyAlignment="1">
      <alignment horizontal="center" vertical="center" wrapText="1" readingOrder="1"/>
    </xf>
    <xf numFmtId="3" fontId="13" fillId="9" borderId="6" xfId="0" applyNumberFormat="1" applyFont="1" applyFill="1" applyBorder="1" applyAlignment="1">
      <alignment horizontal="center" vertical="center" wrapText="1" readingOrder="1"/>
    </xf>
    <xf numFmtId="3" fontId="15" fillId="9" borderId="0" xfId="0" applyNumberFormat="1" applyFont="1" applyFill="1" applyBorder="1" applyAlignment="1">
      <alignment horizontal="center" vertical="center" wrapText="1" readingOrder="1"/>
    </xf>
    <xf numFmtId="164" fontId="15" fillId="9" borderId="0" xfId="0" applyNumberFormat="1" applyFont="1" applyFill="1" applyBorder="1" applyAlignment="1">
      <alignment horizontal="center" vertical="center" wrapText="1" readingOrder="1"/>
    </xf>
    <xf numFmtId="165" fontId="28" fillId="0" borderId="0" xfId="0" applyNumberFormat="1" applyFont="1" applyFill="1" applyBorder="1" applyAlignment="1">
      <alignment horizontal="center" vertical="center" wrapText="1" readingOrder="1"/>
    </xf>
    <xf numFmtId="165" fontId="13" fillId="8" borderId="0" xfId="0" applyNumberFormat="1" applyFont="1" applyFill="1" applyBorder="1" applyAlignment="1">
      <alignment horizontal="center" vertical="center" wrapText="1" readingOrder="1"/>
    </xf>
    <xf numFmtId="165" fontId="13" fillId="8" borderId="6" xfId="0" applyNumberFormat="1" applyFont="1" applyFill="1" applyBorder="1" applyAlignment="1">
      <alignment horizontal="center" vertical="center" wrapText="1" readingOrder="1"/>
    </xf>
    <xf numFmtId="3" fontId="15" fillId="11" borderId="5" xfId="0" applyNumberFormat="1" applyFont="1" applyFill="1" applyBorder="1" applyAlignment="1">
      <alignment horizontal="center" vertical="center" wrapText="1" readingOrder="1"/>
    </xf>
    <xf numFmtId="3" fontId="15" fillId="11" borderId="8" xfId="0" applyNumberFormat="1" applyFont="1" applyFill="1" applyBorder="1" applyAlignment="1">
      <alignment horizontal="center" vertical="center" wrapText="1" readingOrder="1"/>
    </xf>
    <xf numFmtId="3" fontId="15" fillId="10" borderId="5" xfId="0" applyNumberFormat="1" applyFont="1" applyFill="1" applyBorder="1" applyAlignment="1">
      <alignment horizontal="center" vertical="center" wrapText="1" readingOrder="1"/>
    </xf>
    <xf numFmtId="3" fontId="15" fillId="10" borderId="8" xfId="0" applyNumberFormat="1" applyFont="1" applyFill="1" applyBorder="1" applyAlignment="1">
      <alignment horizontal="center" vertical="center" wrapText="1" readingOrder="1"/>
    </xf>
    <xf numFmtId="168" fontId="15" fillId="0" borderId="0" xfId="0" applyNumberFormat="1" applyFont="1" applyFill="1" applyBorder="1" applyAlignment="1">
      <alignment horizontal="center" vertical="center"/>
    </xf>
    <xf numFmtId="169" fontId="15" fillId="0" borderId="0" xfId="0" applyNumberFormat="1" applyFont="1" applyFill="1" applyBorder="1" applyAlignment="1">
      <alignment horizontal="center" vertical="center"/>
    </xf>
    <xf numFmtId="167" fontId="13" fillId="8" borderId="4" xfId="0" applyNumberFormat="1" applyFont="1" applyFill="1" applyBorder="1" applyAlignment="1">
      <alignment horizontal="center" vertical="center"/>
    </xf>
    <xf numFmtId="167" fontId="13" fillId="8" borderId="0" xfId="0" applyNumberFormat="1" applyFont="1" applyFill="1" applyBorder="1" applyAlignment="1">
      <alignment horizontal="center" vertical="center"/>
    </xf>
    <xf numFmtId="0" fontId="10" fillId="8" borderId="0" xfId="0" applyFont="1" applyFill="1" applyBorder="1" applyAlignment="1">
      <alignment horizontal="center" vertical="center"/>
    </xf>
    <xf numFmtId="167" fontId="13" fillId="8" borderId="3" xfId="0" applyNumberFormat="1" applyFont="1" applyFill="1" applyBorder="1" applyAlignment="1">
      <alignment horizontal="center" vertical="center"/>
    </xf>
    <xf numFmtId="0" fontId="36" fillId="0" borderId="0" xfId="0" applyFont="1" applyAlignment="1">
      <alignment vertical="center"/>
    </xf>
    <xf numFmtId="0" fontId="37" fillId="2" borderId="0" xfId="0" applyFont="1" applyFill="1" applyAlignment="1">
      <alignment vertical="center"/>
    </xf>
    <xf numFmtId="0" fontId="38" fillId="2" borderId="0" xfId="0" applyFont="1" applyFill="1" applyAlignment="1">
      <alignment vertical="center"/>
    </xf>
    <xf numFmtId="0" fontId="36" fillId="2" borderId="0" xfId="0" applyFont="1" applyFill="1" applyAlignment="1">
      <alignment vertical="center"/>
    </xf>
    <xf numFmtId="0" fontId="9" fillId="0" borderId="0" xfId="2"/>
    <xf numFmtId="0" fontId="39" fillId="0" borderId="25" xfId="2" applyFont="1" applyBorder="1" applyAlignment="1">
      <alignment horizontal="left" vertical="center" wrapText="1" indent="2"/>
    </xf>
    <xf numFmtId="0" fontId="33" fillId="0" borderId="3" xfId="0" applyFont="1" applyFill="1" applyBorder="1" applyAlignment="1">
      <alignment horizontal="left" vertical="top" wrapText="1"/>
    </xf>
    <xf numFmtId="0" fontId="18" fillId="0" borderId="0" xfId="0" applyFont="1" applyFill="1" applyBorder="1" applyAlignment="1">
      <alignment horizontal="center" vertical="center"/>
    </xf>
    <xf numFmtId="0" fontId="3" fillId="0" borderId="0" xfId="0" applyFont="1" applyAlignment="1">
      <alignment horizontal="left" vertical="center" wrapText="1" readingOrder="1"/>
    </xf>
    <xf numFmtId="0" fontId="12" fillId="0" borderId="0" xfId="0" applyFont="1" applyFill="1" applyBorder="1" applyAlignment="1">
      <alignment horizontal="center" vertical="center"/>
    </xf>
    <xf numFmtId="0" fontId="42" fillId="12" borderId="0" xfId="3" applyFont="1" applyFill="1" applyAlignment="1">
      <alignment horizontal="center" vertical="center"/>
    </xf>
  </cellXfs>
  <cellStyles count="4">
    <cellStyle name="Normal 2" xfId="2" xr:uid="{AE767BE7-5361-0A42-AAF6-3F5A3A7FB450}"/>
    <cellStyle name="Гиперссылка" xfId="3" builtinId="8"/>
    <cellStyle name="Итог" xfId="1" builtinId="25"/>
    <cellStyle name="Обычный" xfId="0" builtinId="0"/>
  </cellStyles>
  <dxfs count="0"/>
  <tableStyles count="0" defaultTableStyle="TableStyleMedium9" defaultPivotStyle="PivotStyleLight16"/>
  <colors>
    <mruColors>
      <color rgb="FF00BD32"/>
      <color rgb="FFEAEEF3"/>
      <color rgb="FF048EB0"/>
      <color rgb="FF4D4D4D"/>
      <color rgb="FFE6F9FE"/>
      <color rgb="FFBBF0FD"/>
      <color rgb="FF0099FF"/>
      <color rgb="FF108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btaC4z"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590550</xdr:colOff>
      <xdr:row>0</xdr:row>
      <xdr:rowOff>76200</xdr:rowOff>
    </xdr:from>
    <xdr:to>
      <xdr:col>12</xdr:col>
      <xdr:colOff>752598</xdr:colOff>
      <xdr:row>0</xdr:row>
      <xdr:rowOff>508980</xdr:rowOff>
    </xdr:to>
    <xdr:pic>
      <xdr:nvPicPr>
        <xdr:cNvPr id="3" name="Рисунок 2">
          <a:hlinkClick xmlns:r="http://schemas.openxmlformats.org/officeDocument/2006/relationships" r:id="rId1"/>
          <a:extLst>
            <a:ext uri="{FF2B5EF4-FFF2-40B4-BE49-F238E27FC236}">
              <a16:creationId xmlns:a16="http://schemas.microsoft.com/office/drawing/2014/main" id="{6FCCBA5D-1B30-42BA-87CD-7FBA46FC99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12050" y="7620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oles-and-Responsibilities-Template8"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es &amp; Responsibilities - EX"/>
      <sheetName val="Roles &amp; Responsibilities BLANK"/>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btaC4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3"/>
    <pageSetUpPr fitToPage="1"/>
  </sheetPr>
  <dimension ref="A1:EQ164"/>
  <sheetViews>
    <sheetView showGridLines="0" tabSelected="1" zoomScaleNormal="100" workbookViewId="0">
      <pane ySplit="1" topLeftCell="A2" activePane="bottomLeft" state="frozen"/>
      <selection pane="bottomLeft" activeCell="B96" sqref="B96:M96"/>
    </sheetView>
  </sheetViews>
  <sheetFormatPr defaultColWidth="13.453125" defaultRowHeight="11.5" outlineLevelRow="1" x14ac:dyDescent="0.35"/>
  <cols>
    <col min="1" max="1" width="3.36328125" style="21" customWidth="1"/>
    <col min="2" max="2" width="36.81640625" style="21" customWidth="1"/>
    <col min="3" max="11" width="9.81640625" style="21" customWidth="1"/>
    <col min="12" max="13" width="12.81640625" style="27" customWidth="1"/>
    <col min="14" max="14" width="3.453125" style="21" customWidth="1"/>
    <col min="15" max="19" width="7" style="21" customWidth="1"/>
    <col min="20" max="20" width="6.81640625" style="21" customWidth="1"/>
    <col min="21" max="16384" width="13.453125" style="21"/>
  </cols>
  <sheetData>
    <row r="1" spans="2:147" s="240" customFormat="1" ht="45" customHeight="1" x14ac:dyDescent="0.35">
      <c r="B1" s="241" t="s">
        <v>88</v>
      </c>
      <c r="C1" s="242"/>
      <c r="D1" s="242"/>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c r="CN1" s="243"/>
      <c r="CO1" s="243"/>
      <c r="CP1" s="243"/>
      <c r="CQ1" s="243"/>
      <c r="CR1" s="243"/>
      <c r="CS1" s="243"/>
      <c r="CT1" s="243"/>
      <c r="CU1" s="243"/>
      <c r="CV1" s="243"/>
      <c r="CW1" s="243"/>
      <c r="CX1" s="243"/>
      <c r="CY1" s="243"/>
      <c r="CZ1" s="243"/>
      <c r="DA1" s="243"/>
      <c r="DB1" s="243"/>
      <c r="DC1" s="243"/>
      <c r="DD1" s="243"/>
      <c r="DE1" s="243"/>
      <c r="DF1" s="243"/>
      <c r="DG1" s="243"/>
      <c r="DH1" s="243"/>
      <c r="DI1" s="243"/>
      <c r="DJ1" s="243"/>
      <c r="DK1" s="243"/>
      <c r="DL1" s="243"/>
      <c r="DM1" s="243"/>
      <c r="DN1" s="243"/>
      <c r="DO1" s="243"/>
      <c r="DP1" s="243"/>
      <c r="DQ1" s="243"/>
      <c r="DR1" s="243"/>
      <c r="DS1" s="243"/>
      <c r="DT1" s="243"/>
      <c r="DU1" s="243"/>
      <c r="DV1" s="243"/>
      <c r="DW1" s="243"/>
      <c r="DX1" s="243"/>
      <c r="DY1" s="243"/>
      <c r="DZ1" s="243"/>
      <c r="EA1" s="243"/>
      <c r="EB1" s="243"/>
      <c r="EC1" s="243"/>
      <c r="ED1" s="243"/>
      <c r="EE1" s="243"/>
      <c r="EF1" s="243"/>
      <c r="EG1" s="243"/>
      <c r="EH1" s="243"/>
      <c r="EI1" s="243"/>
      <c r="EJ1" s="243"/>
      <c r="EK1" s="243"/>
      <c r="EL1" s="243"/>
      <c r="EM1" s="243"/>
      <c r="EN1" s="243"/>
      <c r="EO1" s="243"/>
      <c r="EP1" s="243"/>
      <c r="EQ1" s="243"/>
    </row>
    <row r="2" spans="2:147" s="43" customFormat="1" ht="25" customHeight="1" x14ac:dyDescent="0.35">
      <c r="B2" s="217" t="s">
        <v>82</v>
      </c>
      <c r="C2" s="107"/>
      <c r="D2" s="220"/>
      <c r="E2" s="107"/>
      <c r="F2" s="107"/>
      <c r="G2" s="107"/>
      <c r="H2" s="107"/>
      <c r="I2" s="107"/>
    </row>
    <row r="3" spans="2:147" s="43" customFormat="1" ht="45" customHeight="1" x14ac:dyDescent="0.35">
      <c r="B3" s="246" t="s">
        <v>91</v>
      </c>
      <c r="C3" s="246"/>
      <c r="D3" s="219"/>
      <c r="E3" s="107"/>
      <c r="F3" s="107"/>
      <c r="G3" s="107"/>
      <c r="H3" s="107"/>
      <c r="I3" s="107"/>
    </row>
    <row r="4" spans="2:147" s="29" customFormat="1" ht="25" customHeight="1" x14ac:dyDescent="0.35">
      <c r="B4" s="194" t="s">
        <v>83</v>
      </c>
      <c r="C4" s="196">
        <v>2019</v>
      </c>
    </row>
    <row r="5" spans="2:147" s="29" customFormat="1" ht="25" customHeight="1" thickBot="1" x14ac:dyDescent="0.4">
      <c r="B5" s="195" t="s">
        <v>84</v>
      </c>
      <c r="C5" s="197">
        <v>0.22</v>
      </c>
    </row>
    <row r="6" spans="2:147" ht="15" customHeight="1" x14ac:dyDescent="0.35">
      <c r="D6" s="13"/>
      <c r="L6" s="21"/>
      <c r="M6" s="36"/>
    </row>
    <row r="7" spans="2:147" s="43" customFormat="1" ht="25" customHeight="1" x14ac:dyDescent="0.35">
      <c r="B7" s="217" t="s">
        <v>85</v>
      </c>
      <c r="C7" s="107"/>
      <c r="D7" s="107"/>
      <c r="E7" s="107"/>
      <c r="F7" s="107"/>
      <c r="G7" s="107"/>
      <c r="H7" s="107"/>
      <c r="I7" s="107"/>
    </row>
    <row r="8" spans="2:147" s="45" customFormat="1" ht="18" customHeight="1" x14ac:dyDescent="0.35">
      <c r="B8" s="21"/>
      <c r="C8" s="68" t="s">
        <v>33</v>
      </c>
      <c r="D8" s="68"/>
      <c r="E8" s="68"/>
      <c r="F8" s="89"/>
      <c r="G8" s="69" t="s">
        <v>34</v>
      </c>
      <c r="H8" s="70"/>
      <c r="I8" s="70"/>
      <c r="J8" s="71"/>
      <c r="K8" s="91"/>
      <c r="L8" s="74" t="s">
        <v>5</v>
      </c>
      <c r="M8" s="74" t="s">
        <v>5</v>
      </c>
      <c r="N8" s="46"/>
      <c r="O8" s="47"/>
    </row>
    <row r="9" spans="2:147" s="45" customFormat="1" ht="18" customHeight="1" x14ac:dyDescent="0.35">
      <c r="B9" s="21"/>
      <c r="C9" s="67">
        <f t="shared" ref="C9:D9" si="0">D9-1</f>
        <v>2016</v>
      </c>
      <c r="D9" s="67">
        <f t="shared" si="0"/>
        <v>2017</v>
      </c>
      <c r="E9" s="67">
        <f>F9-1</f>
        <v>2018</v>
      </c>
      <c r="F9" s="90">
        <f>'Discounted Cash Flow - EX'!C4</f>
        <v>2019</v>
      </c>
      <c r="G9" s="72">
        <f>F9+1</f>
        <v>2020</v>
      </c>
      <c r="H9" s="72">
        <f>G9+1</f>
        <v>2021</v>
      </c>
      <c r="I9" s="72">
        <f t="shared" ref="I9:K9" si="1">H9+1</f>
        <v>2022</v>
      </c>
      <c r="J9" s="72">
        <f t="shared" si="1"/>
        <v>2023</v>
      </c>
      <c r="K9" s="92">
        <f t="shared" si="1"/>
        <v>2024</v>
      </c>
      <c r="L9" s="73" t="str">
        <f>C9&amp;"-"&amp;F9&amp;"A"</f>
        <v>2016-2019A</v>
      </c>
      <c r="M9" s="73" t="str">
        <f>G9&amp;"-"&amp;K9&amp;"E"</f>
        <v>2020-2024E</v>
      </c>
      <c r="N9" s="46"/>
      <c r="O9" s="47"/>
    </row>
    <row r="10" spans="2:147" s="45" customFormat="1" ht="18" customHeight="1" x14ac:dyDescent="0.35">
      <c r="B10" s="104" t="s">
        <v>43</v>
      </c>
      <c r="C10" s="128">
        <v>5500</v>
      </c>
      <c r="D10" s="128">
        <v>4500</v>
      </c>
      <c r="E10" s="128">
        <v>5000</v>
      </c>
      <c r="F10" s="129">
        <v>5500</v>
      </c>
      <c r="G10" s="130">
        <f>F10*(1+G11)</f>
        <v>6105.0000000000009</v>
      </c>
      <c r="H10" s="130">
        <f t="shared" ref="H10:K10" si="2">G10*(1+H11)</f>
        <v>6715.5000000000018</v>
      </c>
      <c r="I10" s="130">
        <f t="shared" si="2"/>
        <v>7319.8950000000023</v>
      </c>
      <c r="J10" s="130">
        <f t="shared" si="2"/>
        <v>7905.4866000000029</v>
      </c>
      <c r="K10" s="131">
        <f t="shared" si="2"/>
        <v>8458.870662000003</v>
      </c>
      <c r="L10" s="132">
        <f>(F10/C10)^(1/3)-1</f>
        <v>0</v>
      </c>
      <c r="M10" s="132">
        <f>(K10/G10)^(1/4)-1</f>
        <v>8.4942392826583557E-2</v>
      </c>
      <c r="N10" s="46"/>
      <c r="O10" s="47"/>
    </row>
    <row r="11" spans="2:147" s="47" customFormat="1" ht="18" customHeight="1" x14ac:dyDescent="0.35">
      <c r="B11" s="98" t="s">
        <v>44</v>
      </c>
      <c r="C11" s="132"/>
      <c r="D11" s="132">
        <f>(D10/C10)-1</f>
        <v>-0.18181818181818177</v>
      </c>
      <c r="E11" s="132">
        <f>(E10/D10)-1</f>
        <v>0.11111111111111116</v>
      </c>
      <c r="F11" s="133">
        <f>(F10/E10)-1</f>
        <v>0.10000000000000009</v>
      </c>
      <c r="G11" s="157">
        <v>0.11</v>
      </c>
      <c r="H11" s="158">
        <f>G11-1%</f>
        <v>0.1</v>
      </c>
      <c r="I11" s="158">
        <f t="shared" ref="I11:K11" si="3">H11-1%</f>
        <v>9.0000000000000011E-2</v>
      </c>
      <c r="J11" s="158">
        <f t="shared" si="3"/>
        <v>8.0000000000000016E-2</v>
      </c>
      <c r="K11" s="159">
        <f t="shared" si="3"/>
        <v>7.0000000000000021E-2</v>
      </c>
      <c r="L11" s="132"/>
      <c r="M11" s="132"/>
      <c r="N11" s="46"/>
    </row>
    <row r="12" spans="2:147" s="47" customFormat="1" ht="18" customHeight="1" x14ac:dyDescent="0.35">
      <c r="B12" s="106" t="s">
        <v>30</v>
      </c>
      <c r="C12" s="134">
        <v>-2000</v>
      </c>
      <c r="D12" s="134">
        <v>-2000</v>
      </c>
      <c r="E12" s="134">
        <v>-2000</v>
      </c>
      <c r="F12" s="135">
        <v>-3000</v>
      </c>
      <c r="G12" s="136">
        <f>-(G10-G13)</f>
        <v>-4746.7558321666675</v>
      </c>
      <c r="H12" s="136">
        <f>-(H10-H13)</f>
        <v>-5221.4314153833348</v>
      </c>
      <c r="I12" s="136">
        <f>-(I10-I13)</f>
        <v>-5691.3602427678352</v>
      </c>
      <c r="J12" s="136">
        <f>-(J10-J13)</f>
        <v>-6146.6690621892621</v>
      </c>
      <c r="K12" s="137">
        <f>-(K10-K13)</f>
        <v>-6576.9358965425108</v>
      </c>
      <c r="L12" s="138">
        <f>IFERROR((F12/C12)^(1/3)-1,"N/A")</f>
        <v>0.14471424255333187</v>
      </c>
      <c r="M12" s="138">
        <f>IFERROR((K12/G12)^(1/4)-1,"N/A")</f>
        <v>8.4942392826583557E-2</v>
      </c>
      <c r="N12" s="46"/>
    </row>
    <row r="13" spans="2:147" s="47" customFormat="1" ht="18" customHeight="1" x14ac:dyDescent="0.35">
      <c r="B13" s="93" t="s">
        <v>36</v>
      </c>
      <c r="C13" s="139">
        <v>857.03700000000003</v>
      </c>
      <c r="D13" s="139">
        <v>1052.5894999999998</v>
      </c>
      <c r="E13" s="139">
        <v>1271.713</v>
      </c>
      <c r="F13" s="140">
        <v>1352.154</v>
      </c>
      <c r="G13" s="141">
        <f>G14*G10</f>
        <v>1358.2441678333334</v>
      </c>
      <c r="H13" s="141">
        <f>H14*H10</f>
        <v>1494.0685846166671</v>
      </c>
      <c r="I13" s="141">
        <f>I14*I10</f>
        <v>1628.5347572321671</v>
      </c>
      <c r="J13" s="141">
        <f>J14*J10</f>
        <v>1758.8175378107405</v>
      </c>
      <c r="K13" s="142">
        <f>K14*K10</f>
        <v>1881.9347654574924</v>
      </c>
      <c r="L13" s="143">
        <f>IFERROR((F13/C13)^(1/3)-1,"N/A")</f>
        <v>0.16414978383876488</v>
      </c>
      <c r="M13" s="143">
        <f>IFERROR((K13/G13)^(1/4)-1,"N/A")</f>
        <v>8.4942392826583557E-2</v>
      </c>
      <c r="N13" s="46"/>
    </row>
    <row r="14" spans="2:147" s="47" customFormat="1" ht="18" customHeight="1" x14ac:dyDescent="0.35">
      <c r="B14" s="105" t="s">
        <v>45</v>
      </c>
      <c r="C14" s="132">
        <f>C13/C10</f>
        <v>0.1558249090909091</v>
      </c>
      <c r="D14" s="132">
        <f>D13/D10</f>
        <v>0.23390877777777774</v>
      </c>
      <c r="E14" s="132">
        <f>E13/E10</f>
        <v>0.25434259999999997</v>
      </c>
      <c r="F14" s="133">
        <f>F13/F10</f>
        <v>0.24584618181818182</v>
      </c>
      <c r="G14" s="160">
        <f>AVERAGE(C14:F14)</f>
        <v>0.22248061717171716</v>
      </c>
      <c r="H14" s="158">
        <f>G14</f>
        <v>0.22248061717171716</v>
      </c>
      <c r="I14" s="158">
        <f t="shared" ref="I14:K14" si="4">H14</f>
        <v>0.22248061717171716</v>
      </c>
      <c r="J14" s="158">
        <f t="shared" si="4"/>
        <v>0.22248061717171716</v>
      </c>
      <c r="K14" s="159">
        <f t="shared" si="4"/>
        <v>0.22248061717171716</v>
      </c>
      <c r="L14" s="132"/>
      <c r="M14" s="132"/>
      <c r="N14" s="46"/>
    </row>
    <row r="15" spans="2:147" s="47" customFormat="1" ht="18" customHeight="1" x14ac:dyDescent="0.35">
      <c r="B15" s="106" t="s">
        <v>29</v>
      </c>
      <c r="C15" s="128">
        <v>-220</v>
      </c>
      <c r="D15" s="128">
        <v>-225</v>
      </c>
      <c r="E15" s="128">
        <v>-230</v>
      </c>
      <c r="F15" s="129">
        <v>-235</v>
      </c>
      <c r="G15" s="130">
        <f>F15*(1+G16)</f>
        <v>-244.4</v>
      </c>
      <c r="H15" s="130">
        <f t="shared" ref="H15:K15" si="5">G15*(1+H16)</f>
        <v>-253.68720000000002</v>
      </c>
      <c r="I15" s="130">
        <f t="shared" si="5"/>
        <v>-262.84530792000004</v>
      </c>
      <c r="J15" s="130">
        <f t="shared" si="5"/>
        <v>-271.85958775511642</v>
      </c>
      <c r="K15" s="131">
        <f t="shared" si="5"/>
        <v>-280.7168410890751</v>
      </c>
      <c r="L15" s="138">
        <f>IFERROR((F15/C15)^(1/3)-1,"N/A")</f>
        <v>2.2229462182910442E-2</v>
      </c>
      <c r="M15" s="138">
        <f>IFERROR((K15/G15)^(1/4)-1,"N/A")</f>
        <v>3.5241841550752939E-2</v>
      </c>
      <c r="N15" s="46"/>
    </row>
    <row r="16" spans="2:147" s="47" customFormat="1" ht="18" customHeight="1" x14ac:dyDescent="0.35">
      <c r="B16" s="105" t="s">
        <v>44</v>
      </c>
      <c r="C16" s="132"/>
      <c r="D16" s="132">
        <f>(D15/C15)-1</f>
        <v>2.2727272727272707E-2</v>
      </c>
      <c r="E16" s="132">
        <f>(E15/D15)-1</f>
        <v>2.2222222222222143E-2</v>
      </c>
      <c r="F16" s="133">
        <f>(F15/E15)-1</f>
        <v>2.1739130434782705E-2</v>
      </c>
      <c r="G16" s="160">
        <v>0.04</v>
      </c>
      <c r="H16" s="160">
        <f>G16*0.95</f>
        <v>3.7999999999999999E-2</v>
      </c>
      <c r="I16" s="160">
        <f t="shared" ref="I16:K16" si="6">H16*0.95</f>
        <v>3.61E-2</v>
      </c>
      <c r="J16" s="160">
        <f t="shared" si="6"/>
        <v>3.4294999999999999E-2</v>
      </c>
      <c r="K16" s="161">
        <f t="shared" si="6"/>
        <v>3.2580249999999998E-2</v>
      </c>
      <c r="L16" s="132"/>
      <c r="M16" s="132"/>
      <c r="N16" s="46"/>
    </row>
    <row r="17" spans="2:14" s="52" customFormat="1" ht="18" customHeight="1" x14ac:dyDescent="0.35">
      <c r="B17" s="98" t="s">
        <v>46</v>
      </c>
      <c r="C17" s="132">
        <f t="shared" ref="C17:K17" si="7">-C15/C10</f>
        <v>0.04</v>
      </c>
      <c r="D17" s="132">
        <f t="shared" si="7"/>
        <v>0.05</v>
      </c>
      <c r="E17" s="132">
        <f t="shared" si="7"/>
        <v>4.5999999999999999E-2</v>
      </c>
      <c r="F17" s="133">
        <f t="shared" si="7"/>
        <v>4.2727272727272725E-2</v>
      </c>
      <c r="G17" s="144">
        <f t="shared" si="7"/>
        <v>4.0032760032760024E-2</v>
      </c>
      <c r="H17" s="144">
        <f t="shared" si="7"/>
        <v>3.7776368103640823E-2</v>
      </c>
      <c r="I17" s="144">
        <f t="shared" si="7"/>
        <v>3.5908344029525009E-2</v>
      </c>
      <c r="J17" s="144">
        <f t="shared" si="7"/>
        <v>3.4388722859275522E-2</v>
      </c>
      <c r="K17" s="145">
        <f t="shared" si="7"/>
        <v>3.318608976374901E-2</v>
      </c>
      <c r="L17" s="132"/>
      <c r="M17" s="132"/>
    </row>
    <row r="18" spans="2:14" s="47" customFormat="1" ht="18" customHeight="1" x14ac:dyDescent="0.35">
      <c r="B18" s="94" t="s">
        <v>35</v>
      </c>
      <c r="C18" s="146">
        <f t="shared" ref="C18:K18" si="8">C15+C12</f>
        <v>-2220</v>
      </c>
      <c r="D18" s="146">
        <f t="shared" si="8"/>
        <v>-2225</v>
      </c>
      <c r="E18" s="146">
        <f t="shared" si="8"/>
        <v>-2230</v>
      </c>
      <c r="F18" s="147">
        <f t="shared" si="8"/>
        <v>-3235</v>
      </c>
      <c r="G18" s="148">
        <f t="shared" si="8"/>
        <v>-4991.1558321666671</v>
      </c>
      <c r="H18" s="148">
        <f t="shared" si="8"/>
        <v>-5475.1186153833351</v>
      </c>
      <c r="I18" s="148">
        <f t="shared" si="8"/>
        <v>-5954.2055506878351</v>
      </c>
      <c r="J18" s="148">
        <f t="shared" si="8"/>
        <v>-6418.5286499443782</v>
      </c>
      <c r="K18" s="149">
        <f t="shared" si="8"/>
        <v>-6857.6527376315862</v>
      </c>
      <c r="L18" s="150">
        <f>(F18/C18)^(1/3)-1</f>
        <v>0.13372338164890984</v>
      </c>
      <c r="M18" s="150">
        <f>(K18/G18)^(1/4)-1</f>
        <v>8.2663735215314338E-2</v>
      </c>
      <c r="N18" s="46"/>
    </row>
    <row r="19" spans="2:14" s="47" customFormat="1" ht="18" customHeight="1" x14ac:dyDescent="0.35">
      <c r="B19" s="105" t="s">
        <v>44</v>
      </c>
      <c r="C19" s="132"/>
      <c r="D19" s="132">
        <f>(D18/C18)-1</f>
        <v>2.2522522522523403E-3</v>
      </c>
      <c r="E19" s="132">
        <f>(E18/D18)-1</f>
        <v>2.2471910112360494E-3</v>
      </c>
      <c r="F19" s="133">
        <f>(F18/E18)-1</f>
        <v>0.45067264573991039</v>
      </c>
      <c r="G19" s="144">
        <f t="shared" ref="G19:K19" si="9">(G18/F18)-1</f>
        <v>0.54286115368366827</v>
      </c>
      <c r="H19" s="144">
        <f t="shared" si="9"/>
        <v>9.6964069945012943E-2</v>
      </c>
      <c r="I19" s="144">
        <f t="shared" si="9"/>
        <v>8.7502567334051706E-2</v>
      </c>
      <c r="J19" s="144">
        <f t="shared" si="9"/>
        <v>7.7982376541049003E-2</v>
      </c>
      <c r="K19" s="145">
        <f t="shared" si="9"/>
        <v>6.8415070125302568E-2</v>
      </c>
      <c r="L19" s="132"/>
      <c r="M19" s="132"/>
      <c r="N19" s="46"/>
    </row>
    <row r="20" spans="2:14" s="47" customFormat="1" ht="18" customHeight="1" x14ac:dyDescent="0.35">
      <c r="B20" s="94" t="s">
        <v>0</v>
      </c>
      <c r="C20" s="151">
        <f t="shared" ref="C20:K20" si="10">C18+C10</f>
        <v>3280</v>
      </c>
      <c r="D20" s="151">
        <f t="shared" si="10"/>
        <v>2275</v>
      </c>
      <c r="E20" s="151">
        <f t="shared" si="10"/>
        <v>2770</v>
      </c>
      <c r="F20" s="152">
        <f t="shared" si="10"/>
        <v>2265</v>
      </c>
      <c r="G20" s="153">
        <f t="shared" si="10"/>
        <v>1113.8441678333338</v>
      </c>
      <c r="H20" s="153">
        <f t="shared" si="10"/>
        <v>1240.3813846166668</v>
      </c>
      <c r="I20" s="153">
        <f t="shared" si="10"/>
        <v>1365.6894493121672</v>
      </c>
      <c r="J20" s="153">
        <f t="shared" si="10"/>
        <v>1486.9579500556247</v>
      </c>
      <c r="K20" s="154">
        <f t="shared" si="10"/>
        <v>1601.2179243684168</v>
      </c>
      <c r="L20" s="150">
        <f>(F20/C20)^(1/3)-1</f>
        <v>-0.11611020271494821</v>
      </c>
      <c r="M20" s="150">
        <f>(K20/G20)^(1/4)-1</f>
        <v>9.498079465200493E-2</v>
      </c>
      <c r="N20" s="46"/>
    </row>
    <row r="21" spans="2:14" s="47" customFormat="1" ht="18" customHeight="1" x14ac:dyDescent="0.35">
      <c r="B21" s="105" t="s">
        <v>45</v>
      </c>
      <c r="C21" s="132">
        <f t="shared" ref="C21:K21" si="11">C20/C10</f>
        <v>0.59636363636363632</v>
      </c>
      <c r="D21" s="132">
        <f t="shared" si="11"/>
        <v>0.50555555555555554</v>
      </c>
      <c r="E21" s="132">
        <f t="shared" si="11"/>
        <v>0.55400000000000005</v>
      </c>
      <c r="F21" s="133">
        <f t="shared" si="11"/>
        <v>0.41181818181818181</v>
      </c>
      <c r="G21" s="144">
        <f t="shared" si="11"/>
        <v>0.1824478571389572</v>
      </c>
      <c r="H21" s="144">
        <f t="shared" si="11"/>
        <v>0.18470424906807631</v>
      </c>
      <c r="I21" s="144">
        <f t="shared" si="11"/>
        <v>0.18657227314219219</v>
      </c>
      <c r="J21" s="144">
        <f t="shared" si="11"/>
        <v>0.18809189431244172</v>
      </c>
      <c r="K21" s="145">
        <f t="shared" si="11"/>
        <v>0.18929452740796809</v>
      </c>
      <c r="L21" s="132"/>
      <c r="M21" s="132"/>
      <c r="N21" s="46"/>
    </row>
    <row r="22" spans="2:14" s="47" customFormat="1" ht="18" customHeight="1" x14ac:dyDescent="0.35">
      <c r="B22" s="104" t="s">
        <v>28</v>
      </c>
      <c r="C22" s="128">
        <v>-60</v>
      </c>
      <c r="D22" s="128">
        <v>-70</v>
      </c>
      <c r="E22" s="128">
        <v>-65</v>
      </c>
      <c r="F22" s="129">
        <v>-77</v>
      </c>
      <c r="G22" s="155">
        <f>-G10*G23</f>
        <v>-81.600416666666675</v>
      </c>
      <c r="H22" s="155">
        <f>-H10*H23</f>
        <v>-89.760458333333361</v>
      </c>
      <c r="I22" s="155">
        <f>-I10*I23</f>
        <v>-97.838899583333358</v>
      </c>
      <c r="J22" s="155">
        <f>-J10*J23</f>
        <v>-105.66601155000004</v>
      </c>
      <c r="K22" s="156">
        <f>-K10*K23</f>
        <v>-113.06263235850004</v>
      </c>
      <c r="L22" s="138">
        <f>IFERROR((F22/C22)^(1/3)-1,"N/A")</f>
        <v>8.6708735788776581E-2</v>
      </c>
      <c r="M22" s="138">
        <f>IFERROR((K22/G22)^(1/4)-1,"N/A")</f>
        <v>8.4942392826583557E-2</v>
      </c>
      <c r="N22" s="46"/>
    </row>
    <row r="23" spans="2:14" s="52" customFormat="1" ht="18" customHeight="1" x14ac:dyDescent="0.35">
      <c r="B23" s="98" t="s">
        <v>46</v>
      </c>
      <c r="C23" s="132">
        <f>-(C22/C10)</f>
        <v>1.090909090909091E-2</v>
      </c>
      <c r="D23" s="132">
        <f>-(D22/D10)</f>
        <v>1.5555555555555555E-2</v>
      </c>
      <c r="E23" s="132">
        <f>-(E22/E10)</f>
        <v>1.2999999999999999E-2</v>
      </c>
      <c r="F23" s="133">
        <f>-(F22/F10)</f>
        <v>1.4E-2</v>
      </c>
      <c r="G23" s="160">
        <f>AVERAGE(C23:F23)</f>
        <v>1.3366161616161616E-2</v>
      </c>
      <c r="H23" s="160">
        <f>G23</f>
        <v>1.3366161616161616E-2</v>
      </c>
      <c r="I23" s="160">
        <f t="shared" ref="I23:K23" si="12">H23</f>
        <v>1.3366161616161616E-2</v>
      </c>
      <c r="J23" s="160">
        <f t="shared" si="12"/>
        <v>1.3366161616161616E-2</v>
      </c>
      <c r="K23" s="161">
        <f t="shared" si="12"/>
        <v>1.3366161616161616E-2</v>
      </c>
      <c r="L23" s="132"/>
      <c r="M23" s="132"/>
    </row>
    <row r="24" spans="2:14" ht="15" customHeight="1" x14ac:dyDescent="0.35">
      <c r="D24" s="13"/>
      <c r="L24" s="21"/>
      <c r="M24" s="36"/>
    </row>
    <row r="25" spans="2:14" s="43" customFormat="1" ht="25" customHeight="1" outlineLevel="1" x14ac:dyDescent="0.35">
      <c r="B25" s="218" t="s">
        <v>53</v>
      </c>
      <c r="C25" s="107"/>
      <c r="D25" s="107"/>
      <c r="E25" s="107"/>
      <c r="F25" s="107"/>
      <c r="G25" s="107"/>
      <c r="H25" s="107"/>
      <c r="I25" s="107"/>
    </row>
    <row r="26" spans="2:14" s="43" customFormat="1" ht="25" customHeight="1" outlineLevel="1" x14ac:dyDescent="0.35">
      <c r="B26" s="207" t="s">
        <v>67</v>
      </c>
      <c r="C26" s="107"/>
      <c r="D26" s="107"/>
      <c r="E26" s="107"/>
      <c r="F26" s="107"/>
      <c r="G26" s="107"/>
      <c r="H26" s="107"/>
      <c r="I26" s="107"/>
    </row>
    <row r="27" spans="2:14" s="43" customFormat="1" ht="18" customHeight="1" outlineLevel="1" x14ac:dyDescent="0.35">
      <c r="B27" s="198" t="s">
        <v>73</v>
      </c>
      <c r="C27" s="107"/>
      <c r="D27" s="107"/>
      <c r="E27" s="107"/>
      <c r="F27" s="107"/>
      <c r="G27" s="107"/>
      <c r="H27" s="107"/>
      <c r="I27" s="107"/>
    </row>
    <row r="28" spans="2:14" s="39" customFormat="1" ht="45" customHeight="1" outlineLevel="1" x14ac:dyDescent="0.35">
      <c r="B28" s="208" t="s">
        <v>60</v>
      </c>
      <c r="C28" s="124" t="s">
        <v>61</v>
      </c>
      <c r="D28" s="124" t="s">
        <v>62</v>
      </c>
      <c r="E28" s="124" t="s">
        <v>63</v>
      </c>
      <c r="F28" s="124" t="s">
        <v>64</v>
      </c>
      <c r="G28" s="124" t="s">
        <v>65</v>
      </c>
      <c r="H28" s="124" t="s">
        <v>66</v>
      </c>
      <c r="I28" s="124" t="s">
        <v>89</v>
      </c>
    </row>
    <row r="29" spans="2:14" s="39" customFormat="1" ht="18" customHeight="1" outlineLevel="1" x14ac:dyDescent="0.35">
      <c r="B29" s="209" t="s">
        <v>68</v>
      </c>
      <c r="C29" s="162">
        <v>1.1299999999999999</v>
      </c>
      <c r="D29" s="162">
        <v>600</v>
      </c>
      <c r="E29" s="163">
        <v>980</v>
      </c>
      <c r="F29" s="122">
        <f>D29/E29</f>
        <v>0.61224489795918369</v>
      </c>
      <c r="G29" s="122">
        <f>E29/(D29+E29)</f>
        <v>0.620253164556962</v>
      </c>
      <c r="H29" s="164">
        <v>0.22</v>
      </c>
      <c r="I29" s="123">
        <f>C29/(1+(F29)*(1-H29))</f>
        <v>0.76477900552486178</v>
      </c>
    </row>
    <row r="30" spans="2:14" s="39" customFormat="1" ht="18" customHeight="1" outlineLevel="1" x14ac:dyDescent="0.35">
      <c r="B30" s="210" t="s">
        <v>69</v>
      </c>
      <c r="C30" s="162">
        <v>1.48</v>
      </c>
      <c r="D30" s="162">
        <v>500</v>
      </c>
      <c r="E30" s="163">
        <v>880</v>
      </c>
      <c r="F30" s="122">
        <f>D30/E30</f>
        <v>0.56818181818181823</v>
      </c>
      <c r="G30" s="122">
        <f>E30/(D30+E30)</f>
        <v>0.6376811594202898</v>
      </c>
      <c r="H30" s="164">
        <v>0.22</v>
      </c>
      <c r="I30" s="123">
        <f>C30/(1+(F30)*(1-H30))</f>
        <v>1.0255118110236219</v>
      </c>
    </row>
    <row r="31" spans="2:14" s="39" customFormat="1" ht="18" customHeight="1" outlineLevel="1" x14ac:dyDescent="0.35">
      <c r="B31" s="210" t="s">
        <v>70</v>
      </c>
      <c r="C31" s="162">
        <v>1.52</v>
      </c>
      <c r="D31" s="162">
        <v>400</v>
      </c>
      <c r="E31" s="163">
        <v>780</v>
      </c>
      <c r="F31" s="122">
        <f>D31/E31</f>
        <v>0.51282051282051277</v>
      </c>
      <c r="G31" s="122">
        <f>E31/(D31+E31)</f>
        <v>0.66101694915254239</v>
      </c>
      <c r="H31" s="164">
        <v>0.22</v>
      </c>
      <c r="I31" s="123">
        <f>C31/(1+(F31)*(1-H31))</f>
        <v>1.0857142857142859</v>
      </c>
    </row>
    <row r="32" spans="2:14" s="39" customFormat="1" ht="18" customHeight="1" outlineLevel="1" x14ac:dyDescent="0.35">
      <c r="B32" s="210" t="s">
        <v>71</v>
      </c>
      <c r="C32" s="162">
        <v>1.17</v>
      </c>
      <c r="D32" s="162">
        <v>300</v>
      </c>
      <c r="E32" s="163">
        <v>680</v>
      </c>
      <c r="F32" s="122">
        <f>D32/E32</f>
        <v>0.44117647058823528</v>
      </c>
      <c r="G32" s="122">
        <f>E32/(D32+E32)</f>
        <v>0.69387755102040816</v>
      </c>
      <c r="H32" s="164">
        <v>0.22</v>
      </c>
      <c r="I32" s="123">
        <f>C32/(1+(F32)*(1-H32))</f>
        <v>0.87045951859956228</v>
      </c>
    </row>
    <row r="33" spans="2:10" s="39" customFormat="1" ht="18" customHeight="1" outlineLevel="1" x14ac:dyDescent="0.35">
      <c r="B33" s="211" t="s">
        <v>72</v>
      </c>
      <c r="C33" s="162">
        <v>1.26</v>
      </c>
      <c r="D33" s="162">
        <v>200</v>
      </c>
      <c r="E33" s="163">
        <v>580</v>
      </c>
      <c r="F33" s="122">
        <f>D33/E33</f>
        <v>0.34482758620689657</v>
      </c>
      <c r="G33" s="122">
        <f>E33/(D33+E33)</f>
        <v>0.74358974358974361</v>
      </c>
      <c r="H33" s="164">
        <v>0.22</v>
      </c>
      <c r="I33" s="123">
        <f>C33/(1+(F33)*(1-H33))</f>
        <v>0.99293478260869561</v>
      </c>
    </row>
    <row r="34" spans="2:10" s="39" customFormat="1" ht="18" customHeight="1" outlineLevel="1" x14ac:dyDescent="0.35">
      <c r="B34" s="212" t="s">
        <v>54</v>
      </c>
      <c r="C34" s="114">
        <f>MEDIAN(C29:C33)</f>
        <v>1.26</v>
      </c>
      <c r="D34" s="114"/>
      <c r="E34" s="114"/>
      <c r="F34" s="115">
        <f>MEDIAN(F29:F33)</f>
        <v>0.51282051282051277</v>
      </c>
      <c r="G34" s="115">
        <f>MEDIAN(G29:G33)</f>
        <v>0.66101694915254239</v>
      </c>
      <c r="H34" s="116"/>
      <c r="I34" s="114">
        <f>MEDIAN(I29:I33)</f>
        <v>0.99293478260869561</v>
      </c>
    </row>
    <row r="35" spans="2:10" s="39" customFormat="1" ht="18" customHeight="1" outlineLevel="1" x14ac:dyDescent="0.35">
      <c r="B35" s="213" t="s">
        <v>55</v>
      </c>
      <c r="C35" s="111">
        <f>AVERAGE(C29:C33)</f>
        <v>1.3119999999999998</v>
      </c>
      <c r="D35" s="111"/>
      <c r="E35" s="111"/>
      <c r="F35" s="112">
        <f>AVERAGE(F29:F33)</f>
        <v>0.4958502571513293</v>
      </c>
      <c r="G35" s="112">
        <f>AVERAGE(G29:G33)</f>
        <v>0.67128371354798921</v>
      </c>
      <c r="H35" s="113"/>
      <c r="I35" s="111">
        <f>AVERAGE(I29:I33)</f>
        <v>0.94787988069420559</v>
      </c>
    </row>
    <row r="36" spans="2:10" s="39" customFormat="1" ht="18" customHeight="1" outlineLevel="1" x14ac:dyDescent="0.35">
      <c r="B36" s="214" t="s">
        <v>22</v>
      </c>
      <c r="C36" s="108"/>
      <c r="D36" s="108"/>
      <c r="E36" s="108"/>
      <c r="F36" s="108"/>
      <c r="G36" s="108"/>
      <c r="H36" s="108"/>
      <c r="I36" s="108"/>
    </row>
    <row r="37" spans="2:10" s="39" customFormat="1" ht="18" customHeight="1" outlineLevel="1" x14ac:dyDescent="0.35">
      <c r="B37" s="214" t="s">
        <v>23</v>
      </c>
      <c r="C37" s="108"/>
      <c r="D37" s="108"/>
      <c r="E37" s="108"/>
      <c r="F37" s="108"/>
      <c r="G37" s="108"/>
      <c r="H37" s="108"/>
      <c r="I37" s="108"/>
    </row>
    <row r="38" spans="2:10" s="39" customFormat="1" ht="18" customHeight="1" outlineLevel="1" x14ac:dyDescent="0.35">
      <c r="B38" s="214" t="s">
        <v>24</v>
      </c>
      <c r="C38" s="108"/>
      <c r="D38" s="108"/>
      <c r="E38" s="108"/>
      <c r="F38" s="108"/>
      <c r="G38" s="108"/>
      <c r="H38" s="108"/>
      <c r="I38" s="108"/>
    </row>
    <row r="39" spans="2:10" s="39" customFormat="1" ht="18" customHeight="1" outlineLevel="1" x14ac:dyDescent="0.35">
      <c r="B39" s="214" t="s">
        <v>25</v>
      </c>
      <c r="C39" s="108"/>
      <c r="D39" s="108"/>
      <c r="E39" s="108"/>
      <c r="F39" s="108"/>
      <c r="G39" s="108"/>
      <c r="H39" s="108"/>
      <c r="I39" s="108"/>
    </row>
    <row r="40" spans="2:10" s="39" customFormat="1" ht="45" customHeight="1" outlineLevel="1" x14ac:dyDescent="0.35">
      <c r="B40" s="215" t="s">
        <v>56</v>
      </c>
      <c r="C40" s="125"/>
      <c r="D40" s="126" t="s">
        <v>57</v>
      </c>
      <c r="E40" s="126" t="s">
        <v>58</v>
      </c>
      <c r="F40" s="126" t="s">
        <v>59</v>
      </c>
      <c r="G40" s="127" t="s">
        <v>56</v>
      </c>
      <c r="H40" s="109"/>
      <c r="I40" s="108"/>
    </row>
    <row r="41" spans="2:10" s="38" customFormat="1" ht="18" customHeight="1" outlineLevel="1" x14ac:dyDescent="0.35">
      <c r="B41" s="216" t="s">
        <v>26</v>
      </c>
      <c r="C41" s="117"/>
      <c r="D41" s="118">
        <f>I35</f>
        <v>0.94787988069420559</v>
      </c>
      <c r="E41" s="119">
        <f>F35</f>
        <v>0.4958502571513293</v>
      </c>
      <c r="F41" s="120">
        <f>'Discounted Cash Flow - EX'!C5</f>
        <v>0.22</v>
      </c>
      <c r="G41" s="121">
        <f>D41*(1+(E41)*(1-F41))</f>
        <v>1.3144849371150242</v>
      </c>
      <c r="H41" s="110"/>
      <c r="I41" s="110"/>
    </row>
    <row r="42" spans="2:10" ht="15" customHeight="1" x14ac:dyDescent="0.35">
      <c r="C42" s="18"/>
      <c r="D42" s="2"/>
      <c r="E42" s="2"/>
      <c r="F42" s="2"/>
    </row>
    <row r="43" spans="2:10" s="43" customFormat="1" ht="25" customHeight="1" outlineLevel="1" x14ac:dyDescent="0.35">
      <c r="B43" s="218" t="s">
        <v>75</v>
      </c>
      <c r="C43" s="107"/>
      <c r="D43" s="107"/>
      <c r="E43" s="107"/>
      <c r="F43" s="107"/>
      <c r="G43" s="107"/>
      <c r="H43" s="107"/>
      <c r="I43" s="107"/>
    </row>
    <row r="44" spans="2:10" s="43" customFormat="1" ht="18" customHeight="1" outlineLevel="1" x14ac:dyDescent="0.35">
      <c r="B44" s="198" t="s">
        <v>73</v>
      </c>
      <c r="C44" s="107"/>
      <c r="D44" s="107"/>
      <c r="E44" s="107"/>
      <c r="F44" s="107"/>
      <c r="G44" s="107"/>
      <c r="H44" s="107"/>
      <c r="I44" s="107"/>
    </row>
    <row r="45" spans="2:10" s="30" customFormat="1" ht="18" customHeight="1" outlineLevel="1" x14ac:dyDescent="0.35">
      <c r="B45" s="199" t="s">
        <v>76</v>
      </c>
      <c r="C45" s="181"/>
      <c r="D45" s="193" t="s">
        <v>74</v>
      </c>
      <c r="E45" s="77"/>
      <c r="F45" s="174"/>
      <c r="G45" s="136"/>
      <c r="H45" s="175"/>
      <c r="I45" s="80"/>
      <c r="J45" s="14"/>
    </row>
    <row r="46" spans="2:10" s="30" customFormat="1" ht="18" customHeight="1" outlineLevel="1" x14ac:dyDescent="0.35">
      <c r="B46" s="200" t="s">
        <v>7</v>
      </c>
      <c r="C46" s="182">
        <f>1-C47</f>
        <v>0.32871628645201079</v>
      </c>
      <c r="D46" s="192"/>
      <c r="E46" s="168"/>
      <c r="F46" s="169"/>
      <c r="G46" s="169"/>
      <c r="H46" s="169"/>
      <c r="I46" s="169"/>
      <c r="J46" s="14"/>
    </row>
    <row r="47" spans="2:10" s="30" customFormat="1" ht="18" customHeight="1" outlineLevel="1" x14ac:dyDescent="0.35">
      <c r="B47" s="200" t="s">
        <v>8</v>
      </c>
      <c r="C47" s="182">
        <f>'Discounted Cash Flow - EX'!G35</f>
        <v>0.67128371354798921</v>
      </c>
      <c r="D47" s="192"/>
      <c r="E47" s="168"/>
      <c r="F47" s="169"/>
      <c r="G47" s="169"/>
      <c r="H47" s="169"/>
      <c r="I47" s="169"/>
      <c r="J47" s="14"/>
    </row>
    <row r="48" spans="2:10" s="30" customFormat="1" ht="18" customHeight="1" outlineLevel="1" x14ac:dyDescent="0.35">
      <c r="B48" s="200" t="s">
        <v>27</v>
      </c>
      <c r="C48" s="182">
        <f>'Discounted Cash Flow - EX'!F35</f>
        <v>0.4958502571513293</v>
      </c>
      <c r="D48" s="192"/>
      <c r="E48" s="168"/>
      <c r="F48" s="169"/>
      <c r="G48" s="169"/>
      <c r="H48" s="169"/>
      <c r="I48" s="169"/>
      <c r="J48" s="14"/>
    </row>
    <row r="49" spans="2:22" s="30" customFormat="1" ht="18" customHeight="1" outlineLevel="1" x14ac:dyDescent="0.35">
      <c r="B49" s="199" t="s">
        <v>77</v>
      </c>
      <c r="C49" s="183"/>
      <c r="D49" s="192"/>
      <c r="E49" s="168"/>
      <c r="F49" s="169"/>
      <c r="G49" s="169"/>
      <c r="H49" s="169"/>
      <c r="I49" s="169"/>
      <c r="J49" s="14"/>
    </row>
    <row r="50" spans="2:22" s="30" customFormat="1" ht="18" customHeight="1" outlineLevel="1" x14ac:dyDescent="0.35">
      <c r="B50" s="200" t="s">
        <v>18</v>
      </c>
      <c r="C50" s="184">
        <v>3.1E-2</v>
      </c>
      <c r="D50" s="192"/>
      <c r="E50" s="168"/>
      <c r="F50" s="169"/>
      <c r="G50" s="169"/>
      <c r="H50" s="169"/>
      <c r="I50" s="169"/>
      <c r="J50" s="14"/>
    </row>
    <row r="51" spans="2:22" s="30" customFormat="1" ht="18" customHeight="1" outlineLevel="1" x14ac:dyDescent="0.35">
      <c r="B51" s="200" t="s">
        <v>19</v>
      </c>
      <c r="C51" s="184">
        <v>6.2E-2</v>
      </c>
      <c r="D51" s="192"/>
      <c r="E51" s="168"/>
      <c r="F51" s="169"/>
      <c r="G51" s="169"/>
      <c r="H51" s="169"/>
      <c r="I51" s="169"/>
      <c r="J51" s="14"/>
    </row>
    <row r="52" spans="2:22" s="30" customFormat="1" ht="18" customHeight="1" outlineLevel="1" x14ac:dyDescent="0.35">
      <c r="B52" s="200" t="s">
        <v>20</v>
      </c>
      <c r="C52" s="185">
        <f>'Discounted Cash Flow - EX'!G41</f>
        <v>1.3144849371150242</v>
      </c>
      <c r="D52" s="192"/>
      <c r="E52" s="168"/>
      <c r="F52" s="169"/>
      <c r="G52" s="169"/>
      <c r="H52" s="169"/>
      <c r="I52" s="169"/>
      <c r="J52" s="14"/>
    </row>
    <row r="53" spans="2:22" s="30" customFormat="1" ht="18" customHeight="1" outlineLevel="1" x14ac:dyDescent="0.35">
      <c r="B53" s="201" t="s">
        <v>21</v>
      </c>
      <c r="C53" s="186">
        <v>1.4E-2</v>
      </c>
      <c r="D53" s="192"/>
      <c r="E53" s="168"/>
      <c r="F53" s="169"/>
      <c r="G53" s="169"/>
      <c r="H53" s="169"/>
      <c r="I53" s="169"/>
      <c r="J53" s="14"/>
    </row>
    <row r="54" spans="2:22" s="30" customFormat="1" ht="18" customHeight="1" outlineLevel="1" x14ac:dyDescent="0.35">
      <c r="B54" s="202" t="s">
        <v>77</v>
      </c>
      <c r="C54" s="187">
        <f>C50+(C52*C51)+C53</f>
        <v>0.12649806610113151</v>
      </c>
      <c r="D54" s="192"/>
      <c r="E54" s="168"/>
      <c r="F54" s="169"/>
      <c r="G54" s="169"/>
      <c r="H54" s="169"/>
      <c r="I54" s="169"/>
      <c r="J54" s="34"/>
    </row>
    <row r="55" spans="2:22" s="30" customFormat="1" ht="18" customHeight="1" outlineLevel="1" x14ac:dyDescent="0.35">
      <c r="B55" s="203" t="s">
        <v>79</v>
      </c>
      <c r="C55" s="188"/>
      <c r="D55" s="192"/>
      <c r="E55" s="168"/>
      <c r="F55" s="169"/>
      <c r="G55" s="169"/>
      <c r="H55" s="169"/>
      <c r="I55" s="169"/>
      <c r="J55" s="36"/>
    </row>
    <row r="56" spans="2:22" s="30" customFormat="1" ht="18" customHeight="1" outlineLevel="1" x14ac:dyDescent="0.35">
      <c r="B56" s="204" t="s">
        <v>6</v>
      </c>
      <c r="C56" s="184">
        <v>5.9200000000000003E-2</v>
      </c>
      <c r="D56" s="192"/>
      <c r="E56" s="168"/>
      <c r="F56" s="169"/>
      <c r="G56" s="169"/>
      <c r="H56" s="169"/>
      <c r="I56" s="169"/>
      <c r="J56" s="36"/>
    </row>
    <row r="57" spans="2:22" s="30" customFormat="1" ht="18" customHeight="1" outlineLevel="1" x14ac:dyDescent="0.35">
      <c r="B57" s="205" t="s">
        <v>80</v>
      </c>
      <c r="C57" s="189">
        <f>'Discounted Cash Flow - EX'!C5</f>
        <v>0.22</v>
      </c>
      <c r="D57" s="192"/>
      <c r="E57" s="168"/>
      <c r="F57" s="169"/>
      <c r="G57" s="169"/>
      <c r="H57" s="169"/>
      <c r="I57" s="169"/>
      <c r="J57" s="36"/>
    </row>
    <row r="58" spans="2:22" s="30" customFormat="1" ht="18" customHeight="1" outlineLevel="1" x14ac:dyDescent="0.35">
      <c r="B58" s="202" t="s">
        <v>78</v>
      </c>
      <c r="C58" s="190">
        <f>C56*(1-C57)</f>
        <v>4.6176000000000002E-2</v>
      </c>
      <c r="D58" s="178"/>
      <c r="E58" s="179"/>
      <c r="F58" s="180"/>
      <c r="G58" s="180"/>
      <c r="H58" s="180"/>
      <c r="I58" s="180"/>
      <c r="J58" s="36"/>
    </row>
    <row r="59" spans="2:22" s="30" customFormat="1" ht="18" customHeight="1" outlineLevel="1" thickBot="1" x14ac:dyDescent="0.4">
      <c r="B59" s="206" t="s">
        <v>2</v>
      </c>
      <c r="C59" s="191">
        <f>(C58*C46)+(C54*C47)</f>
        <v>0.10009489481221463</v>
      </c>
      <c r="D59" s="170"/>
      <c r="E59" s="171"/>
      <c r="F59" s="172"/>
      <c r="G59" s="173"/>
      <c r="H59" s="173"/>
      <c r="I59" s="173"/>
      <c r="J59" s="36"/>
    </row>
    <row r="60" spans="2:22" s="47" customFormat="1" ht="12" customHeight="1" outlineLevel="1" thickTop="1" x14ac:dyDescent="0.35">
      <c r="B60" s="48"/>
      <c r="C60" s="49"/>
      <c r="D60" s="49"/>
      <c r="E60" s="49"/>
      <c r="F60" s="49"/>
      <c r="G60" s="55"/>
      <c r="H60" s="55"/>
      <c r="I60" s="55"/>
      <c r="J60" s="55"/>
      <c r="K60" s="55"/>
      <c r="L60" s="49"/>
      <c r="M60" s="49"/>
      <c r="U60" s="46"/>
      <c r="V60" s="46"/>
    </row>
    <row r="61" spans="2:22" s="43" customFormat="1" ht="25" customHeight="1" outlineLevel="1" x14ac:dyDescent="0.35">
      <c r="B61" s="221" t="s">
        <v>81</v>
      </c>
      <c r="C61" s="107"/>
      <c r="D61" s="107"/>
      <c r="E61" s="107"/>
      <c r="F61" s="107"/>
      <c r="G61" s="107"/>
      <c r="H61" s="107"/>
      <c r="I61" s="107"/>
    </row>
    <row r="62" spans="2:22" s="47" customFormat="1" ht="12" customHeight="1" outlineLevel="1" x14ac:dyDescent="0.35">
      <c r="B62" s="48"/>
      <c r="C62" s="49"/>
      <c r="D62" s="49"/>
      <c r="E62" s="49"/>
      <c r="F62" s="49"/>
      <c r="G62" s="55"/>
      <c r="H62" s="55"/>
      <c r="I62" s="55"/>
      <c r="J62" s="55"/>
      <c r="K62" s="55"/>
      <c r="L62" s="49"/>
      <c r="M62" s="49"/>
      <c r="U62" s="46"/>
      <c r="V62" s="46"/>
    </row>
    <row r="63" spans="2:22" s="47" customFormat="1" ht="18" customHeight="1" x14ac:dyDescent="0.35">
      <c r="B63" s="94" t="s">
        <v>1</v>
      </c>
      <c r="C63" s="146">
        <f t="shared" ref="C63:K63" si="13">C20+C22</f>
        <v>3220</v>
      </c>
      <c r="D63" s="146">
        <f t="shared" si="13"/>
        <v>2205</v>
      </c>
      <c r="E63" s="146">
        <f t="shared" si="13"/>
        <v>2705</v>
      </c>
      <c r="F63" s="147">
        <f t="shared" si="13"/>
        <v>2188</v>
      </c>
      <c r="G63" s="148">
        <f t="shared" si="13"/>
        <v>1032.2437511666672</v>
      </c>
      <c r="H63" s="148">
        <f t="shared" si="13"/>
        <v>1150.6209262833333</v>
      </c>
      <c r="I63" s="148">
        <f t="shared" si="13"/>
        <v>1267.8505497288338</v>
      </c>
      <c r="J63" s="148">
        <f t="shared" si="13"/>
        <v>1381.2919385056246</v>
      </c>
      <c r="K63" s="149">
        <f t="shared" si="13"/>
        <v>1488.1552920099168</v>
      </c>
      <c r="L63" s="150">
        <f>(F63/C63)^(1/3)-1</f>
        <v>-0.12084830992680828</v>
      </c>
      <c r="M63" s="150">
        <f>(K63/G63)^(1/4)-1</f>
        <v>9.5762661586874964E-2</v>
      </c>
    </row>
    <row r="64" spans="2:22" s="47" customFormat="1" ht="18" customHeight="1" x14ac:dyDescent="0.35">
      <c r="B64" s="104" t="s">
        <v>93</v>
      </c>
      <c r="C64" s="128">
        <v>-111</v>
      </c>
      <c r="D64" s="128">
        <v>-121</v>
      </c>
      <c r="E64" s="128">
        <v>-131</v>
      </c>
      <c r="F64" s="129">
        <v>-141</v>
      </c>
      <c r="G64" s="130">
        <f>'Discounted Cash Flow - EX'!$C$57*-G63</f>
        <v>-227.09362525666677</v>
      </c>
      <c r="H64" s="130">
        <f>'Discounted Cash Flow - EX'!$C$57*-H63</f>
        <v>-253.13660378233334</v>
      </c>
      <c r="I64" s="130">
        <f>'Discounted Cash Flow - EX'!$C$57*-I63</f>
        <v>-278.92712094034346</v>
      </c>
      <c r="J64" s="130">
        <f>'Discounted Cash Flow - EX'!$C$57*-J63</f>
        <v>-303.88422647123741</v>
      </c>
      <c r="K64" s="131">
        <f>'Discounted Cash Flow - EX'!$C$57*-K63</f>
        <v>-327.39416424218172</v>
      </c>
      <c r="L64" s="138">
        <f>IFERROR((F64/C64)^(1/3)-1,"N/A")</f>
        <v>8.3008947425307955E-2</v>
      </c>
      <c r="M64" s="138">
        <f>IFERROR((K64/G64)^(1/4)-1,"N/A")</f>
        <v>9.5762661586874964E-2</v>
      </c>
    </row>
    <row r="65" spans="1:22" s="47" customFormat="1" ht="18" customHeight="1" x14ac:dyDescent="0.35">
      <c r="B65" s="104" t="s">
        <v>4</v>
      </c>
      <c r="C65" s="128"/>
      <c r="D65" s="128">
        <v>-80</v>
      </c>
      <c r="E65" s="128">
        <v>-50</v>
      </c>
      <c r="F65" s="129">
        <v>-110</v>
      </c>
      <c r="G65" s="130">
        <f>-(G66*G10)</f>
        <v>-97.227777777777803</v>
      </c>
      <c r="H65" s="130">
        <f>-(H66*H10)</f>
        <v>-106.9505555555556</v>
      </c>
      <c r="I65" s="130">
        <f>-(I66*I10)</f>
        <v>-116.5761055555556</v>
      </c>
      <c r="J65" s="130">
        <f>-(J66*J10)</f>
        <v>-125.90219400000005</v>
      </c>
      <c r="K65" s="131">
        <f>-(K66*K10)</f>
        <v>-134.71534758000004</v>
      </c>
      <c r="L65" s="222" t="str">
        <f>IFERROR((F65/C65)^(1/3)-1,"N/A")</f>
        <v>N/A</v>
      </c>
      <c r="M65" s="222">
        <f>IFERROR((K65/G65)^(1/4)-1,"n.a.")</f>
        <v>8.4942392826583557E-2</v>
      </c>
      <c r="N65" s="46"/>
      <c r="O65" s="46"/>
      <c r="P65" s="247"/>
      <c r="Q65" s="247"/>
      <c r="R65" s="247"/>
      <c r="S65" s="247"/>
      <c r="T65" s="247"/>
      <c r="U65" s="46"/>
      <c r="V65" s="46"/>
    </row>
    <row r="66" spans="1:22" s="47" customFormat="1" ht="18" customHeight="1" x14ac:dyDescent="0.35">
      <c r="B66" s="98" t="s">
        <v>46</v>
      </c>
      <c r="C66" s="222"/>
      <c r="D66" s="132">
        <f>-D65/D10</f>
        <v>1.7777777777777778E-2</v>
      </c>
      <c r="E66" s="132">
        <f>-E65/E10</f>
        <v>0.01</v>
      </c>
      <c r="F66" s="133">
        <f>-F65/F10</f>
        <v>0.02</v>
      </c>
      <c r="G66" s="160">
        <f>AVERAGE(D66:F66)</f>
        <v>1.5925925925925927E-2</v>
      </c>
      <c r="H66" s="160">
        <f>G66</f>
        <v>1.5925925925925927E-2</v>
      </c>
      <c r="I66" s="160">
        <f t="shared" ref="I66:K66" si="14">H66</f>
        <v>1.5925925925925927E-2</v>
      </c>
      <c r="J66" s="160">
        <f t="shared" si="14"/>
        <v>1.5925925925925927E-2</v>
      </c>
      <c r="K66" s="161">
        <f t="shared" si="14"/>
        <v>1.5925925925925927E-2</v>
      </c>
      <c r="L66" s="132"/>
      <c r="M66" s="132"/>
      <c r="N66" s="54"/>
      <c r="O66" s="54"/>
      <c r="P66" s="50"/>
      <c r="Q66" s="50"/>
      <c r="R66" s="50"/>
      <c r="S66" s="50"/>
      <c r="T66" s="50"/>
      <c r="U66" s="46"/>
      <c r="V66" s="46"/>
    </row>
    <row r="67" spans="1:22" s="47" customFormat="1" ht="18" customHeight="1" x14ac:dyDescent="0.35">
      <c r="A67" s="46"/>
      <c r="B67" s="104" t="s">
        <v>15</v>
      </c>
      <c r="C67" s="128">
        <v>200</v>
      </c>
      <c r="D67" s="128">
        <v>225</v>
      </c>
      <c r="E67" s="128">
        <v>210</v>
      </c>
      <c r="F67" s="129">
        <v>200</v>
      </c>
      <c r="G67" s="130">
        <f>G68*G10</f>
        <v>222.00000000000003</v>
      </c>
      <c r="H67" s="130">
        <f>H68*H10</f>
        <v>244.20000000000005</v>
      </c>
      <c r="I67" s="130">
        <f>I68*I10</f>
        <v>266.17800000000005</v>
      </c>
      <c r="J67" s="130">
        <f>J68*J10</f>
        <v>287.47224000000011</v>
      </c>
      <c r="K67" s="131">
        <f>K68*K10</f>
        <v>307.59529680000009</v>
      </c>
      <c r="L67" s="222"/>
      <c r="M67" s="222"/>
      <c r="N67" s="46"/>
      <c r="O67" s="46"/>
    </row>
    <row r="68" spans="1:22" s="47" customFormat="1" ht="18" customHeight="1" x14ac:dyDescent="0.35">
      <c r="A68" s="46"/>
      <c r="B68" s="98" t="s">
        <v>46</v>
      </c>
      <c r="C68" s="132">
        <f>C67/C10</f>
        <v>3.6363636363636362E-2</v>
      </c>
      <c r="D68" s="132">
        <f>D67/D10</f>
        <v>0.05</v>
      </c>
      <c r="E68" s="132">
        <f>E67/E10</f>
        <v>4.2000000000000003E-2</v>
      </c>
      <c r="F68" s="133">
        <f>F67/F10</f>
        <v>3.6363636363636362E-2</v>
      </c>
      <c r="G68" s="160">
        <f>F68</f>
        <v>3.6363636363636362E-2</v>
      </c>
      <c r="H68" s="160">
        <f>G68</f>
        <v>3.6363636363636362E-2</v>
      </c>
      <c r="I68" s="160">
        <f t="shared" ref="I68:K68" si="15">H68</f>
        <v>3.6363636363636362E-2</v>
      </c>
      <c r="J68" s="160">
        <f t="shared" si="15"/>
        <v>3.6363636363636362E-2</v>
      </c>
      <c r="K68" s="161">
        <f t="shared" si="15"/>
        <v>3.6363636363636362E-2</v>
      </c>
      <c r="L68" s="222"/>
      <c r="M68" s="222"/>
      <c r="N68" s="46"/>
      <c r="O68" s="46"/>
    </row>
    <row r="69" spans="1:22" s="47" customFormat="1" ht="18" customHeight="1" x14ac:dyDescent="0.35">
      <c r="B69" s="104" t="s">
        <v>90</v>
      </c>
      <c r="C69" s="223"/>
      <c r="D69" s="222">
        <f t="shared" ref="D69:K69" si="16">C67-D67</f>
        <v>-25</v>
      </c>
      <c r="E69" s="222">
        <f t="shared" si="16"/>
        <v>15</v>
      </c>
      <c r="F69" s="224">
        <f t="shared" si="16"/>
        <v>10</v>
      </c>
      <c r="G69" s="130">
        <f t="shared" si="16"/>
        <v>-22.000000000000028</v>
      </c>
      <c r="H69" s="130">
        <f t="shared" si="16"/>
        <v>-22.200000000000017</v>
      </c>
      <c r="I69" s="130">
        <f t="shared" si="16"/>
        <v>-21.978000000000009</v>
      </c>
      <c r="J69" s="130">
        <f t="shared" si="16"/>
        <v>-21.294240000000059</v>
      </c>
      <c r="K69" s="131">
        <f t="shared" si="16"/>
        <v>-20.123056799999972</v>
      </c>
      <c r="L69" s="225"/>
      <c r="M69" s="225"/>
      <c r="N69" s="56"/>
      <c r="O69" s="50"/>
      <c r="P69" s="53"/>
      <c r="Q69" s="53"/>
      <c r="R69" s="53"/>
      <c r="S69" s="53"/>
      <c r="T69" s="53"/>
      <c r="U69" s="46"/>
      <c r="V69" s="46"/>
    </row>
    <row r="70" spans="1:22" s="47" customFormat="1" ht="18" customHeight="1" x14ac:dyDescent="0.35">
      <c r="B70" s="94" t="s">
        <v>37</v>
      </c>
      <c r="C70" s="146"/>
      <c r="D70" s="146">
        <f t="shared" ref="D70:K70" si="17">D20+D64+D65+D69</f>
        <v>2049</v>
      </c>
      <c r="E70" s="146">
        <f t="shared" si="17"/>
        <v>2604</v>
      </c>
      <c r="F70" s="147">
        <f t="shared" si="17"/>
        <v>2024</v>
      </c>
      <c r="G70" s="148">
        <f t="shared" si="17"/>
        <v>767.52276479888928</v>
      </c>
      <c r="H70" s="148">
        <f t="shared" si="17"/>
        <v>858.09422527877769</v>
      </c>
      <c r="I70" s="148">
        <f t="shared" si="17"/>
        <v>948.20822281626806</v>
      </c>
      <c r="J70" s="148">
        <f t="shared" si="17"/>
        <v>1035.8772895843872</v>
      </c>
      <c r="K70" s="149">
        <f t="shared" si="17"/>
        <v>1118.9853557462352</v>
      </c>
      <c r="L70" s="146"/>
      <c r="M70" s="146"/>
      <c r="N70" s="56"/>
      <c r="O70" s="50"/>
      <c r="P70" s="53"/>
      <c r="Q70" s="53"/>
      <c r="R70" s="53"/>
      <c r="S70" s="53"/>
      <c r="T70" s="53"/>
      <c r="U70" s="46"/>
      <c r="V70" s="46"/>
    </row>
    <row r="71" spans="1:22" s="47" customFormat="1" ht="18" customHeight="1" x14ac:dyDescent="0.35">
      <c r="B71" s="104" t="s">
        <v>2</v>
      </c>
      <c r="C71" s="226"/>
      <c r="D71" s="222"/>
      <c r="E71" s="222"/>
      <c r="F71" s="224"/>
      <c r="G71" s="176">
        <f>WACC</f>
        <v>0.10009489481221463</v>
      </c>
      <c r="H71" s="176">
        <f>WACC</f>
        <v>0.10009489481221463</v>
      </c>
      <c r="I71" s="176">
        <f>WACC</f>
        <v>0.10009489481221463</v>
      </c>
      <c r="J71" s="176">
        <f>WACC</f>
        <v>0.10009489481221463</v>
      </c>
      <c r="K71" s="183">
        <f>WACC</f>
        <v>0.10009489481221463</v>
      </c>
      <c r="L71" s="222"/>
      <c r="M71" s="222"/>
      <c r="N71" s="46"/>
      <c r="O71" s="46"/>
      <c r="P71" s="46"/>
      <c r="Q71" s="46"/>
      <c r="R71" s="46"/>
      <c r="S71" s="46"/>
      <c r="T71" s="46"/>
      <c r="U71" s="46"/>
      <c r="V71" s="46"/>
    </row>
    <row r="72" spans="1:22" s="47" customFormat="1" ht="18" customHeight="1" x14ac:dyDescent="0.35">
      <c r="B72" s="104" t="s">
        <v>9</v>
      </c>
      <c r="C72" s="222"/>
      <c r="D72" s="222"/>
      <c r="E72" s="222"/>
      <c r="F72" s="224"/>
      <c r="G72" s="227">
        <v>0.5</v>
      </c>
      <c r="H72" s="228">
        <f>G72+1</f>
        <v>1.5</v>
      </c>
      <c r="I72" s="228">
        <f>H72+1</f>
        <v>2.5</v>
      </c>
      <c r="J72" s="228">
        <f>I72+1</f>
        <v>3.5</v>
      </c>
      <c r="K72" s="229">
        <f>J72+1</f>
        <v>4.5</v>
      </c>
      <c r="L72" s="222"/>
      <c r="M72" s="222"/>
      <c r="N72" s="46"/>
      <c r="O72" s="46"/>
      <c r="P72" s="46"/>
      <c r="Q72" s="46"/>
      <c r="R72" s="46"/>
      <c r="S72" s="46"/>
      <c r="T72" s="46"/>
      <c r="U72" s="46"/>
      <c r="V72" s="46"/>
    </row>
    <row r="73" spans="1:22" s="47" customFormat="1" ht="18" customHeight="1" x14ac:dyDescent="0.35">
      <c r="B73" s="104" t="s">
        <v>10</v>
      </c>
      <c r="C73" s="222"/>
      <c r="D73" s="222"/>
      <c r="E73" s="222"/>
      <c r="F73" s="224"/>
      <c r="G73" s="177">
        <f>1/((1+G71)^G72)</f>
        <v>0.95342146524571914</v>
      </c>
      <c r="H73" s="177">
        <f>1/((1+H71)^H72)</f>
        <v>0.86667202051552783</v>
      </c>
      <c r="I73" s="177">
        <f>1/((1+I71)^I72)</f>
        <v>0.78781569172127464</v>
      </c>
      <c r="J73" s="177">
        <f>1/((1+J71)^J72)</f>
        <v>0.71613430390089594</v>
      </c>
      <c r="K73" s="185">
        <f>1/((1+K71)^K72)</f>
        <v>0.65097502704358934</v>
      </c>
      <c r="L73" s="222"/>
      <c r="M73" s="222"/>
      <c r="N73" s="46"/>
      <c r="O73" s="46"/>
      <c r="P73" s="46"/>
      <c r="Q73" s="46"/>
      <c r="R73" s="46"/>
      <c r="S73" s="46"/>
      <c r="T73" s="46"/>
      <c r="U73" s="46"/>
      <c r="V73" s="46"/>
    </row>
    <row r="74" spans="1:22" s="47" customFormat="1" ht="18" customHeight="1" thickBot="1" x14ac:dyDescent="0.4">
      <c r="B74" s="96" t="s">
        <v>47</v>
      </c>
      <c r="C74" s="230"/>
      <c r="D74" s="230"/>
      <c r="E74" s="230"/>
      <c r="F74" s="231"/>
      <c r="G74" s="232">
        <f>G73*G70</f>
        <v>731.77267902400251</v>
      </c>
      <c r="H74" s="232">
        <f>H73*H70</f>
        <v>743.68625601506483</v>
      </c>
      <c r="I74" s="232">
        <f>I73*I70</f>
        <v>747.01331695379872</v>
      </c>
      <c r="J74" s="232">
        <f>J73*J70</f>
        <v>741.82726170326191</v>
      </c>
      <c r="K74" s="233">
        <f>K73*K70</f>
        <v>728.43152221828586</v>
      </c>
      <c r="L74" s="230"/>
      <c r="M74" s="230"/>
      <c r="N74" s="56"/>
      <c r="O74" s="50"/>
      <c r="P74" s="53"/>
      <c r="Q74" s="53"/>
      <c r="R74" s="53"/>
      <c r="S74" s="53"/>
      <c r="T74" s="53"/>
      <c r="U74" s="46"/>
      <c r="V74" s="46"/>
    </row>
    <row r="75" spans="1:22" s="47" customFormat="1" ht="18" customHeight="1" thickTop="1" x14ac:dyDescent="0.35">
      <c r="B75" s="48"/>
      <c r="C75" s="49"/>
      <c r="D75" s="49"/>
      <c r="E75" s="49"/>
      <c r="F75" s="49"/>
      <c r="G75" s="55"/>
      <c r="H75" s="55"/>
      <c r="I75" s="55"/>
      <c r="J75" s="55"/>
      <c r="K75" s="55"/>
      <c r="L75" s="49"/>
      <c r="M75" s="49"/>
      <c r="U75" s="46"/>
      <c r="V75" s="46"/>
    </row>
    <row r="76" spans="1:22" s="47" customFormat="1" ht="18" customHeight="1" x14ac:dyDescent="0.35">
      <c r="B76" s="76" t="s">
        <v>38</v>
      </c>
      <c r="C76" s="76"/>
      <c r="D76" s="49"/>
      <c r="E76" s="58" t="s">
        <v>39</v>
      </c>
      <c r="F76" s="57"/>
      <c r="G76" s="234">
        <f>F9</f>
        <v>2019</v>
      </c>
      <c r="H76" s="235">
        <f>G9</f>
        <v>2020</v>
      </c>
      <c r="I76" s="235">
        <f>H9</f>
        <v>2021</v>
      </c>
      <c r="J76" s="235">
        <f>I9</f>
        <v>2022</v>
      </c>
      <c r="K76" s="235">
        <f>J9</f>
        <v>2023</v>
      </c>
      <c r="L76" s="49"/>
      <c r="M76" s="49"/>
      <c r="U76" s="46"/>
      <c r="V76" s="46"/>
    </row>
    <row r="77" spans="1:22" s="47" customFormat="1" ht="18" customHeight="1" x14ac:dyDescent="0.35">
      <c r="B77" s="77" t="s">
        <v>32</v>
      </c>
      <c r="C77" s="75">
        <f>SUM('Discounted Cash Flow - EX'!G74:K74)+'Discounted Cash Flow - EX'!C93</f>
        <v>12537.143602910968</v>
      </c>
      <c r="D77" s="49"/>
      <c r="E77" s="84" t="s">
        <v>3</v>
      </c>
      <c r="F77" s="84"/>
      <c r="G77" s="236">
        <f>EV/F10</f>
        <v>2.2794806550747215</v>
      </c>
      <c r="H77" s="236">
        <f>EV/G10</f>
        <v>2.0535861757429918</v>
      </c>
      <c r="I77" s="236">
        <f>EV/H10</f>
        <v>1.8668965234027197</v>
      </c>
      <c r="J77" s="236">
        <f>EV/I10</f>
        <v>1.7127491040391924</v>
      </c>
      <c r="K77" s="236">
        <f>EV/J10</f>
        <v>1.5858788000362891</v>
      </c>
      <c r="L77" s="49"/>
      <c r="M77" s="49"/>
    </row>
    <row r="78" spans="1:22" s="47" customFormat="1" ht="18" customHeight="1" outlineLevel="1" x14ac:dyDescent="0.35">
      <c r="B78" s="78" t="s">
        <v>48</v>
      </c>
      <c r="C78" s="165">
        <v>600</v>
      </c>
      <c r="D78" s="49"/>
      <c r="E78" s="167" t="s">
        <v>40</v>
      </c>
      <c r="F78" s="81"/>
      <c r="G78" s="237"/>
      <c r="H78" s="237"/>
      <c r="I78" s="237"/>
      <c r="J78" s="237"/>
      <c r="K78" s="237"/>
      <c r="L78" s="49"/>
      <c r="M78" s="49"/>
    </row>
    <row r="79" spans="1:22" s="47" customFormat="1" ht="18" customHeight="1" outlineLevel="1" x14ac:dyDescent="0.35">
      <c r="B79" s="78" t="s">
        <v>17</v>
      </c>
      <c r="C79" s="165">
        <v>150</v>
      </c>
      <c r="D79" s="49"/>
      <c r="E79" s="167" t="s">
        <v>40</v>
      </c>
      <c r="F79" s="81"/>
      <c r="G79" s="237"/>
      <c r="H79" s="237"/>
      <c r="I79" s="237"/>
      <c r="J79" s="237"/>
      <c r="K79" s="237"/>
      <c r="L79" s="49"/>
      <c r="M79" s="49"/>
    </row>
    <row r="80" spans="1:22" s="47" customFormat="1" ht="18" customHeight="1" outlineLevel="1" x14ac:dyDescent="0.35">
      <c r="B80" s="79" t="s">
        <v>49</v>
      </c>
      <c r="C80" s="80">
        <f>C78-C79</f>
        <v>450</v>
      </c>
      <c r="D80" s="49"/>
      <c r="E80" s="167" t="s">
        <v>40</v>
      </c>
      <c r="F80" s="83"/>
      <c r="G80" s="238"/>
      <c r="H80" s="238"/>
      <c r="I80" s="238"/>
      <c r="J80" s="238"/>
      <c r="K80" s="238"/>
      <c r="L80" s="49"/>
      <c r="M80" s="49"/>
    </row>
    <row r="81" spans="1:21" s="47" customFormat="1" ht="18" customHeight="1" x14ac:dyDescent="0.35">
      <c r="B81" s="81" t="s">
        <v>50</v>
      </c>
      <c r="C81" s="82">
        <f>C77-C80</f>
        <v>12087.143602910968</v>
      </c>
      <c r="D81" s="49"/>
      <c r="E81" s="81" t="s">
        <v>0</v>
      </c>
      <c r="F81" s="81"/>
      <c r="G81" s="237">
        <f>EV/F20</f>
        <v>5.5351627385920388</v>
      </c>
      <c r="H81" s="237">
        <f>EV/G20</f>
        <v>11.25574291716085</v>
      </c>
      <c r="I81" s="237">
        <f>EV/H20</f>
        <v>10.107490936576339</v>
      </c>
      <c r="J81" s="237">
        <f>EV/I20</f>
        <v>9.1800838098480817</v>
      </c>
      <c r="K81" s="237">
        <f>EV/J20</f>
        <v>8.4314042656296859</v>
      </c>
      <c r="L81" s="49"/>
      <c r="M81" s="49"/>
    </row>
    <row r="82" spans="1:21" s="47" customFormat="1" ht="18" customHeight="1" outlineLevel="1" x14ac:dyDescent="0.35">
      <c r="B82" s="78" t="s">
        <v>51</v>
      </c>
      <c r="C82" s="80">
        <v>10000</v>
      </c>
      <c r="D82" s="49"/>
      <c r="E82" s="167" t="s">
        <v>40</v>
      </c>
      <c r="F82" s="83"/>
      <c r="G82" s="238"/>
      <c r="H82" s="238"/>
      <c r="I82" s="238"/>
      <c r="J82" s="238"/>
      <c r="K82" s="238"/>
      <c r="L82" s="49"/>
      <c r="M82" s="49"/>
    </row>
    <row r="83" spans="1:21" s="47" customFormat="1" ht="18" customHeight="1" x14ac:dyDescent="0.35">
      <c r="B83" s="85" t="s">
        <v>52</v>
      </c>
      <c r="C83" s="86">
        <f>C81/C82</f>
        <v>1.2087143602910968</v>
      </c>
      <c r="D83" s="49"/>
      <c r="E83" s="85" t="s">
        <v>1</v>
      </c>
      <c r="F83" s="85"/>
      <c r="G83" s="239">
        <f>EV/F63</f>
        <v>5.7299559428295099</v>
      </c>
      <c r="H83" s="239">
        <f>EV/G63</f>
        <v>12.145526275883174</v>
      </c>
      <c r="I83" s="239">
        <f>EV/H63</f>
        <v>10.895980871308934</v>
      </c>
      <c r="J83" s="239">
        <f>EV/I63</f>
        <v>9.8885027147658651</v>
      </c>
      <c r="K83" s="239">
        <f>EV/J63</f>
        <v>9.0763894680182542</v>
      </c>
      <c r="L83" s="49"/>
      <c r="M83" s="49"/>
    </row>
    <row r="84" spans="1:21" s="47" customFormat="1" ht="18" customHeight="1" x14ac:dyDescent="0.35">
      <c r="B84" s="57"/>
      <c r="C84" s="57"/>
      <c r="D84" s="49"/>
      <c r="E84" s="58"/>
      <c r="F84" s="57"/>
      <c r="G84" s="59"/>
      <c r="H84" s="57"/>
      <c r="I84" s="59"/>
      <c r="J84" s="59"/>
      <c r="K84" s="59"/>
      <c r="L84" s="49"/>
      <c r="M84" s="49"/>
    </row>
    <row r="85" spans="1:21" s="47" customFormat="1" ht="18" customHeight="1" x14ac:dyDescent="0.35">
      <c r="A85" s="46"/>
      <c r="B85" s="87" t="s">
        <v>41</v>
      </c>
      <c r="C85" s="88"/>
      <c r="D85" s="55"/>
      <c r="M85" s="49"/>
      <c r="N85" s="46"/>
      <c r="O85" s="46"/>
      <c r="P85" s="46"/>
      <c r="Q85" s="46"/>
      <c r="R85" s="46"/>
      <c r="S85" s="46"/>
      <c r="T85" s="46"/>
      <c r="U85" s="46"/>
    </row>
    <row r="86" spans="1:21" s="47" customFormat="1" ht="18" customHeight="1" x14ac:dyDescent="0.35">
      <c r="A86" s="46"/>
      <c r="B86" s="100" t="s">
        <v>14</v>
      </c>
      <c r="C86" s="80">
        <f>K70</f>
        <v>1118.9853557462352</v>
      </c>
      <c r="D86" s="51"/>
      <c r="M86" s="51"/>
      <c r="N86" s="46"/>
      <c r="O86" s="46"/>
      <c r="P86" s="46"/>
      <c r="Q86" s="46"/>
      <c r="R86" s="46"/>
      <c r="S86" s="46"/>
      <c r="T86" s="46"/>
      <c r="U86" s="46"/>
    </row>
    <row r="87" spans="1:21" s="47" customFormat="1" ht="18" customHeight="1" x14ac:dyDescent="0.35">
      <c r="A87" s="46"/>
      <c r="B87" s="100" t="s">
        <v>13</v>
      </c>
      <c r="C87" s="166">
        <v>0.02</v>
      </c>
      <c r="D87" s="49"/>
      <c r="M87" s="49"/>
      <c r="N87" s="249"/>
      <c r="O87" s="249"/>
      <c r="P87" s="249"/>
      <c r="Q87" s="249"/>
      <c r="R87" s="249"/>
      <c r="S87" s="249"/>
      <c r="T87" s="249"/>
      <c r="U87" s="46"/>
    </row>
    <row r="88" spans="1:21" s="47" customFormat="1" ht="18" customHeight="1" x14ac:dyDescent="0.35">
      <c r="A88" s="46"/>
      <c r="B88" s="100" t="s">
        <v>12</v>
      </c>
      <c r="C88" s="80">
        <f>K20</f>
        <v>1601.2179243684168</v>
      </c>
      <c r="D88" s="49"/>
      <c r="M88" s="49"/>
      <c r="N88" s="46"/>
      <c r="O88" s="46"/>
      <c r="P88" s="249"/>
      <c r="Q88" s="249"/>
      <c r="R88" s="249"/>
      <c r="S88" s="249"/>
      <c r="T88" s="249"/>
      <c r="U88" s="46"/>
    </row>
    <row r="89" spans="1:21" s="47" customFormat="1" ht="18" customHeight="1" x14ac:dyDescent="0.35">
      <c r="A89" s="46"/>
      <c r="B89" s="100" t="s">
        <v>11</v>
      </c>
      <c r="C89" s="80">
        <f>C86*(1+C87)/(WACC-C87)</f>
        <v>14250.159957599439</v>
      </c>
      <c r="D89" s="49"/>
      <c r="M89" s="49"/>
      <c r="N89" s="60"/>
      <c r="O89" s="61"/>
      <c r="P89" s="62"/>
      <c r="Q89" s="62"/>
      <c r="R89" s="63"/>
      <c r="S89" s="62"/>
      <c r="T89" s="62"/>
      <c r="U89" s="46"/>
    </row>
    <row r="90" spans="1:21" s="47" customFormat="1" ht="18" customHeight="1" x14ac:dyDescent="0.35">
      <c r="A90" s="46"/>
      <c r="B90" s="101" t="s">
        <v>31</v>
      </c>
      <c r="C90" s="102">
        <f>(C89*(1+WACC)^0.5)/C88</f>
        <v>9.3343562282468966</v>
      </c>
      <c r="D90" s="49"/>
      <c r="M90" s="49"/>
      <c r="N90" s="64"/>
      <c r="O90" s="62"/>
      <c r="P90" s="65"/>
      <c r="Q90" s="65"/>
      <c r="R90" s="65"/>
      <c r="S90" s="65"/>
      <c r="T90" s="65"/>
      <c r="U90" s="46"/>
    </row>
    <row r="91" spans="1:21" s="47" customFormat="1" ht="18" customHeight="1" x14ac:dyDescent="0.35">
      <c r="A91" s="46"/>
      <c r="B91" s="100" t="s">
        <v>9</v>
      </c>
      <c r="C91" s="103">
        <f>K72+0.5</f>
        <v>5</v>
      </c>
      <c r="D91" s="55"/>
      <c r="M91" s="49"/>
      <c r="N91" s="64"/>
      <c r="O91" s="62"/>
      <c r="P91" s="65"/>
      <c r="Q91" s="65"/>
      <c r="R91" s="65"/>
      <c r="S91" s="65"/>
      <c r="T91" s="65"/>
      <c r="U91" s="46"/>
    </row>
    <row r="92" spans="1:21" s="47" customFormat="1" ht="18" customHeight="1" x14ac:dyDescent="0.35">
      <c r="A92" s="46"/>
      <c r="B92" s="100" t="s">
        <v>10</v>
      </c>
      <c r="C92" s="103">
        <f>1/((1+WACC)^C91)</f>
        <v>0.62065356412227046</v>
      </c>
      <c r="D92" s="51"/>
      <c r="M92" s="49"/>
      <c r="N92" s="64"/>
      <c r="O92" s="63"/>
      <c r="P92" s="65"/>
      <c r="Q92" s="65"/>
      <c r="R92" s="66"/>
      <c r="S92" s="65"/>
      <c r="T92" s="65"/>
      <c r="U92" s="46"/>
    </row>
    <row r="93" spans="1:21" s="47" customFormat="1" ht="18" customHeight="1" x14ac:dyDescent="0.35">
      <c r="A93" s="46"/>
      <c r="B93" s="97" t="s">
        <v>42</v>
      </c>
      <c r="C93" s="95">
        <f>C89*C92</f>
        <v>8844.4125669965542</v>
      </c>
      <c r="D93" s="49"/>
      <c r="M93" s="49"/>
      <c r="N93" s="64"/>
      <c r="O93" s="62"/>
      <c r="P93" s="65"/>
      <c r="Q93" s="65"/>
      <c r="R93" s="65"/>
      <c r="S93" s="65"/>
      <c r="T93" s="65"/>
      <c r="U93" s="46"/>
    </row>
    <row r="94" spans="1:21" s="47" customFormat="1" ht="18" customHeight="1" x14ac:dyDescent="0.35">
      <c r="A94" s="46"/>
      <c r="B94" s="98" t="s">
        <v>16</v>
      </c>
      <c r="C94" s="99">
        <f>C93/'Discounted Cash Flow - EX'!C77</f>
        <v>0.70545674893147048</v>
      </c>
      <c r="D94" s="49"/>
      <c r="M94" s="49"/>
      <c r="N94" s="64"/>
      <c r="O94" s="62"/>
      <c r="P94" s="65"/>
      <c r="Q94" s="65"/>
      <c r="R94" s="65"/>
      <c r="S94" s="65"/>
      <c r="T94" s="65"/>
      <c r="U94" s="46"/>
    </row>
    <row r="95" spans="1:21" x14ac:dyDescent="0.35">
      <c r="A95" s="22"/>
      <c r="B95" s="15"/>
      <c r="C95" s="17"/>
      <c r="D95" s="12"/>
      <c r="L95" s="21"/>
      <c r="M95" s="14"/>
      <c r="N95" s="22"/>
      <c r="O95" s="22"/>
      <c r="P95" s="22"/>
      <c r="Q95" s="22"/>
      <c r="R95" s="22"/>
      <c r="S95" s="22"/>
      <c r="T95" s="22"/>
      <c r="U95" s="22"/>
    </row>
    <row r="96" spans="1:21" customFormat="1" ht="50" customHeight="1" x14ac:dyDescent="0.35">
      <c r="B96" s="250" t="s">
        <v>86</v>
      </c>
      <c r="C96" s="250"/>
      <c r="D96" s="250"/>
      <c r="E96" s="250"/>
      <c r="F96" s="250"/>
      <c r="G96" s="250"/>
      <c r="H96" s="250"/>
      <c r="I96" s="250"/>
      <c r="J96" s="250"/>
      <c r="K96" s="250"/>
      <c r="L96" s="250"/>
      <c r="M96" s="250"/>
    </row>
    <row r="97" spans="1:13" x14ac:dyDescent="0.35">
      <c r="A97" s="23"/>
      <c r="D97" s="13"/>
      <c r="L97" s="21"/>
      <c r="M97" s="34"/>
    </row>
    <row r="98" spans="1:13" x14ac:dyDescent="0.35">
      <c r="A98" s="23"/>
      <c r="D98" s="13"/>
      <c r="L98" s="21"/>
      <c r="M98" s="36"/>
    </row>
    <row r="99" spans="1:13" x14ac:dyDescent="0.35">
      <c r="A99" s="23"/>
      <c r="D99" s="13"/>
      <c r="L99" s="21"/>
      <c r="M99" s="36"/>
    </row>
    <row r="100" spans="1:13" x14ac:dyDescent="0.35">
      <c r="D100" s="13"/>
      <c r="L100" s="21"/>
      <c r="M100" s="36"/>
    </row>
    <row r="101" spans="1:13" ht="12.5" x14ac:dyDescent="0.35">
      <c r="B101" s="32"/>
      <c r="C101" s="31"/>
      <c r="D101" s="13"/>
      <c r="L101" s="21"/>
      <c r="M101" s="36"/>
    </row>
    <row r="102" spans="1:13" x14ac:dyDescent="0.35">
      <c r="D102" s="13"/>
      <c r="L102" s="21"/>
      <c r="M102" s="36"/>
    </row>
    <row r="103" spans="1:13" x14ac:dyDescent="0.35">
      <c r="D103" s="13"/>
      <c r="L103" s="21"/>
      <c r="M103" s="36"/>
    </row>
    <row r="104" spans="1:13" x14ac:dyDescent="0.35">
      <c r="D104" s="13"/>
      <c r="E104" s="35"/>
      <c r="F104" s="34"/>
      <c r="G104" s="34"/>
      <c r="H104" s="36"/>
      <c r="I104" s="36"/>
      <c r="J104" s="36"/>
      <c r="K104" s="36"/>
      <c r="L104" s="36"/>
      <c r="M104" s="36"/>
    </row>
    <row r="105" spans="1:13" x14ac:dyDescent="0.35">
      <c r="D105" s="10"/>
      <c r="E105" s="37"/>
      <c r="F105" s="37"/>
      <c r="G105" s="38"/>
      <c r="H105" s="39"/>
      <c r="I105" s="39"/>
      <c r="J105" s="39"/>
      <c r="K105" s="39"/>
      <c r="L105" s="40"/>
      <c r="M105" s="40"/>
    </row>
    <row r="106" spans="1:13" x14ac:dyDescent="0.35">
      <c r="D106" s="23"/>
      <c r="E106" s="28"/>
      <c r="F106" s="28"/>
      <c r="G106" s="28"/>
      <c r="H106" s="41"/>
      <c r="I106" s="41"/>
      <c r="J106" s="41"/>
      <c r="K106" s="41"/>
      <c r="L106" s="42"/>
      <c r="M106" s="42"/>
    </row>
    <row r="107" spans="1:13" x14ac:dyDescent="0.35">
      <c r="D107" s="23"/>
      <c r="E107" s="28"/>
      <c r="F107" s="28"/>
      <c r="G107" s="28"/>
      <c r="H107" s="41"/>
      <c r="I107" s="41"/>
      <c r="J107" s="41"/>
      <c r="K107" s="41"/>
      <c r="L107" s="42"/>
      <c r="M107" s="42"/>
    </row>
    <row r="108" spans="1:13" x14ac:dyDescent="0.35">
      <c r="B108" s="19"/>
      <c r="C108" s="24"/>
      <c r="D108" s="23"/>
      <c r="E108" s="23"/>
      <c r="F108" s="23"/>
      <c r="G108" s="23"/>
    </row>
    <row r="113" spans="2:20" x14ac:dyDescent="0.35">
      <c r="B113" s="19"/>
      <c r="C113" s="16"/>
    </row>
    <row r="114" spans="2:20" s="26" customFormat="1" x14ac:dyDescent="0.35">
      <c r="D114" s="21"/>
      <c r="E114" s="21"/>
      <c r="F114" s="21"/>
      <c r="G114" s="21"/>
      <c r="H114" s="21"/>
      <c r="I114" s="21"/>
      <c r="J114" s="21"/>
      <c r="K114" s="21"/>
      <c r="L114" s="27"/>
      <c r="M114" s="27"/>
      <c r="N114" s="21"/>
      <c r="O114" s="21"/>
      <c r="P114" s="21"/>
      <c r="Q114" s="21"/>
      <c r="R114" s="21"/>
      <c r="S114" s="21"/>
      <c r="T114" s="21"/>
    </row>
    <row r="115" spans="2:20" s="26" customFormat="1" x14ac:dyDescent="0.35">
      <c r="B115" s="20"/>
      <c r="C115" s="18"/>
      <c r="D115" s="21"/>
      <c r="E115" s="21"/>
      <c r="F115" s="21"/>
      <c r="G115" s="21"/>
      <c r="H115" s="21"/>
      <c r="I115" s="21"/>
      <c r="J115" s="21"/>
      <c r="K115" s="21"/>
      <c r="L115" s="27"/>
      <c r="M115" s="27"/>
    </row>
    <row r="116" spans="2:20" x14ac:dyDescent="0.35">
      <c r="C116" s="33"/>
      <c r="N116" s="26"/>
      <c r="O116" s="26"/>
      <c r="P116" s="26"/>
      <c r="Q116" s="26"/>
      <c r="R116" s="26"/>
      <c r="S116" s="26"/>
      <c r="T116" s="26"/>
    </row>
    <row r="117" spans="2:20" x14ac:dyDescent="0.35">
      <c r="C117" s="18"/>
      <c r="D117" s="2"/>
      <c r="E117" s="2"/>
      <c r="F117" s="2"/>
    </row>
    <row r="118" spans="2:20" x14ac:dyDescent="0.35">
      <c r="C118" s="18"/>
      <c r="D118" s="2"/>
      <c r="E118" s="2"/>
      <c r="F118" s="2"/>
    </row>
    <row r="119" spans="2:20" x14ac:dyDescent="0.35">
      <c r="C119" s="18"/>
      <c r="D119" s="2"/>
      <c r="E119" s="2"/>
      <c r="F119" s="2"/>
      <c r="L119" s="2"/>
      <c r="M119" s="2"/>
    </row>
    <row r="120" spans="2:20" x14ac:dyDescent="0.35">
      <c r="C120" s="25"/>
      <c r="D120" s="4"/>
      <c r="E120" s="4"/>
      <c r="F120" s="4"/>
      <c r="G120" s="4"/>
      <c r="H120" s="4"/>
      <c r="I120" s="4"/>
      <c r="J120" s="4"/>
      <c r="K120" s="4"/>
      <c r="L120" s="4"/>
      <c r="M120" s="4"/>
    </row>
    <row r="121" spans="2:20" x14ac:dyDescent="0.35">
      <c r="B121" s="1"/>
      <c r="C121" s="5"/>
      <c r="D121" s="5"/>
      <c r="E121" s="5"/>
      <c r="F121" s="5"/>
      <c r="L121" s="5"/>
      <c r="M121" s="5"/>
    </row>
    <row r="122" spans="2:20" x14ac:dyDescent="0.35">
      <c r="B122" s="248"/>
      <c r="C122" s="6"/>
      <c r="D122" s="6"/>
      <c r="E122" s="6"/>
      <c r="F122" s="6"/>
      <c r="L122" s="6"/>
      <c r="M122" s="6"/>
    </row>
    <row r="123" spans="2:20" x14ac:dyDescent="0.35">
      <c r="B123" s="248"/>
      <c r="C123" s="5"/>
      <c r="D123" s="5"/>
      <c r="E123" s="5"/>
      <c r="F123" s="5"/>
      <c r="L123" s="5"/>
      <c r="M123" s="5"/>
    </row>
    <row r="124" spans="2:20" x14ac:dyDescent="0.35">
      <c r="B124" s="11"/>
      <c r="C124" s="2"/>
      <c r="D124" s="2"/>
      <c r="E124" s="2"/>
      <c r="F124" s="2"/>
      <c r="L124" s="2"/>
      <c r="M124" s="2"/>
    </row>
    <row r="125" spans="2:20" x14ac:dyDescent="0.35">
      <c r="B125" s="11"/>
      <c r="C125" s="2"/>
      <c r="D125" s="2"/>
      <c r="E125" s="2"/>
      <c r="F125" s="2"/>
      <c r="L125" s="2"/>
      <c r="M125" s="2"/>
    </row>
    <row r="126" spans="2:20" x14ac:dyDescent="0.35">
      <c r="B126" s="11"/>
      <c r="C126" s="7"/>
      <c r="D126" s="7"/>
      <c r="E126" s="7"/>
      <c r="F126" s="7"/>
      <c r="L126" s="7"/>
      <c r="M126" s="7"/>
    </row>
    <row r="127" spans="2:20" s="26" customFormat="1" x14ac:dyDescent="0.35">
      <c r="B127" s="11"/>
      <c r="C127" s="2"/>
      <c r="D127" s="2"/>
      <c r="E127" s="2"/>
      <c r="F127" s="2"/>
      <c r="G127" s="21"/>
      <c r="H127" s="21"/>
      <c r="I127" s="21"/>
      <c r="J127" s="21"/>
      <c r="K127" s="21"/>
      <c r="L127" s="2"/>
      <c r="M127" s="2"/>
      <c r="N127" s="21"/>
      <c r="O127" s="21"/>
      <c r="P127" s="21"/>
      <c r="Q127" s="21"/>
      <c r="R127" s="21"/>
      <c r="S127" s="21"/>
      <c r="T127" s="21"/>
    </row>
    <row r="128" spans="2:20" x14ac:dyDescent="0.35">
      <c r="B128" s="11"/>
      <c r="C128" s="2"/>
      <c r="D128" s="2"/>
      <c r="E128" s="2"/>
      <c r="F128" s="2"/>
      <c r="L128" s="2"/>
      <c r="M128" s="2"/>
      <c r="N128" s="26"/>
      <c r="O128" s="26"/>
      <c r="P128" s="26"/>
      <c r="Q128" s="26"/>
      <c r="R128" s="26"/>
      <c r="S128" s="26"/>
      <c r="T128" s="26"/>
    </row>
    <row r="129" spans="2:13" x14ac:dyDescent="0.35">
      <c r="B129" s="11"/>
      <c r="C129" s="2"/>
      <c r="D129" s="2"/>
      <c r="E129" s="2"/>
      <c r="F129" s="2"/>
      <c r="L129" s="2"/>
      <c r="M129" s="2"/>
    </row>
    <row r="131" spans="2:13" x14ac:dyDescent="0.35">
      <c r="B131" s="3"/>
      <c r="C131" s="8"/>
      <c r="D131" s="8"/>
      <c r="E131" s="8"/>
      <c r="F131" s="8"/>
      <c r="L131" s="8"/>
      <c r="M131" s="8"/>
    </row>
    <row r="132" spans="2:13" x14ac:dyDescent="0.35">
      <c r="B132" s="1"/>
      <c r="C132" s="5"/>
      <c r="D132" s="5"/>
      <c r="E132" s="5"/>
      <c r="F132" s="5"/>
      <c r="L132" s="5"/>
      <c r="M132" s="5"/>
    </row>
    <row r="133" spans="2:13" x14ac:dyDescent="0.35">
      <c r="B133" s="248"/>
      <c r="C133" s="6"/>
      <c r="D133" s="6"/>
      <c r="E133" s="6"/>
      <c r="F133" s="6"/>
      <c r="L133" s="6"/>
      <c r="M133" s="6"/>
    </row>
    <row r="134" spans="2:13" x14ac:dyDescent="0.35">
      <c r="B134" s="248"/>
      <c r="C134" s="5"/>
      <c r="D134" s="5"/>
      <c r="E134" s="5"/>
      <c r="F134" s="5"/>
      <c r="L134" s="5"/>
      <c r="M134" s="5"/>
    </row>
    <row r="135" spans="2:13" x14ac:dyDescent="0.35">
      <c r="B135" s="11"/>
      <c r="C135" s="2"/>
      <c r="D135" s="2"/>
      <c r="E135" s="2"/>
      <c r="F135" s="2"/>
      <c r="L135" s="2"/>
      <c r="M135" s="2"/>
    </row>
    <row r="137" spans="2:13" x14ac:dyDescent="0.35">
      <c r="B137" s="11"/>
      <c r="C137" s="2"/>
      <c r="D137" s="2"/>
      <c r="E137" s="2"/>
      <c r="F137" s="2"/>
      <c r="L137" s="2"/>
      <c r="M137" s="2"/>
    </row>
    <row r="138" spans="2:13" x14ac:dyDescent="0.35">
      <c r="B138" s="11"/>
      <c r="C138" s="2"/>
      <c r="D138" s="2"/>
      <c r="E138" s="2"/>
      <c r="F138" s="2"/>
      <c r="L138" s="2"/>
      <c r="M138" s="2"/>
    </row>
    <row r="139" spans="2:13" x14ac:dyDescent="0.35">
      <c r="B139" s="11"/>
      <c r="C139" s="2"/>
      <c r="D139" s="2"/>
      <c r="E139" s="2"/>
      <c r="F139" s="2"/>
      <c r="L139" s="2"/>
      <c r="M139" s="2"/>
    </row>
    <row r="140" spans="2:13" x14ac:dyDescent="0.35">
      <c r="B140" s="11"/>
      <c r="C140" s="2"/>
      <c r="D140" s="2"/>
      <c r="E140" s="2"/>
      <c r="F140" s="2"/>
      <c r="L140" s="2"/>
      <c r="M140" s="2"/>
    </row>
    <row r="141" spans="2:13" x14ac:dyDescent="0.35">
      <c r="B141" s="11"/>
      <c r="C141" s="2"/>
      <c r="D141" s="2"/>
      <c r="E141" s="2"/>
      <c r="F141" s="2"/>
      <c r="L141" s="2"/>
      <c r="M141" s="2"/>
    </row>
    <row r="142" spans="2:13" x14ac:dyDescent="0.35">
      <c r="B142" s="11"/>
      <c r="C142" s="2"/>
      <c r="D142" s="2"/>
      <c r="E142" s="2"/>
      <c r="F142" s="2"/>
      <c r="L142" s="2"/>
      <c r="M142" s="2"/>
    </row>
    <row r="143" spans="2:13" x14ac:dyDescent="0.35">
      <c r="B143" s="11"/>
      <c r="C143" s="2"/>
      <c r="D143" s="2"/>
      <c r="E143" s="2"/>
      <c r="F143" s="2"/>
      <c r="L143" s="2"/>
      <c r="M143" s="2"/>
    </row>
    <row r="144" spans="2:13" x14ac:dyDescent="0.35">
      <c r="B144" s="9"/>
      <c r="C144" s="6"/>
      <c r="D144" s="6"/>
      <c r="E144" s="6"/>
      <c r="F144" s="6"/>
      <c r="L144" s="6"/>
      <c r="M144" s="6"/>
    </row>
    <row r="145" spans="2:13" x14ac:dyDescent="0.35">
      <c r="B145" s="3"/>
      <c r="C145" s="8"/>
      <c r="D145" s="8"/>
      <c r="E145" s="8"/>
      <c r="F145" s="8"/>
      <c r="L145" s="8"/>
      <c r="M145" s="8"/>
    </row>
    <row r="146" spans="2:13" x14ac:dyDescent="0.35">
      <c r="B146" s="1"/>
      <c r="C146" s="5"/>
      <c r="D146" s="5"/>
      <c r="E146" s="5"/>
      <c r="F146" s="5"/>
      <c r="L146" s="5"/>
      <c r="M146" s="5"/>
    </row>
    <row r="147" spans="2:13" x14ac:dyDescent="0.35">
      <c r="B147" s="248"/>
      <c r="C147" s="6"/>
      <c r="D147" s="6"/>
      <c r="E147" s="6"/>
      <c r="F147" s="6"/>
      <c r="L147" s="6"/>
      <c r="M147" s="6"/>
    </row>
    <row r="148" spans="2:13" x14ac:dyDescent="0.35">
      <c r="B148" s="248"/>
      <c r="C148" s="5"/>
      <c r="D148" s="5"/>
      <c r="E148" s="5"/>
      <c r="F148" s="5"/>
      <c r="L148" s="5"/>
      <c r="M148" s="5"/>
    </row>
    <row r="149" spans="2:13" x14ac:dyDescent="0.35">
      <c r="B149" s="11"/>
      <c r="C149" s="6"/>
      <c r="D149" s="6"/>
      <c r="E149" s="6"/>
      <c r="F149" s="6"/>
      <c r="L149" s="6"/>
      <c r="M149" s="6"/>
    </row>
    <row r="150" spans="2:13" x14ac:dyDescent="0.35">
      <c r="B150" s="11"/>
      <c r="C150" s="6"/>
      <c r="D150" s="6"/>
      <c r="E150" s="6"/>
      <c r="F150" s="6"/>
      <c r="L150" s="6"/>
      <c r="M150" s="6"/>
    </row>
    <row r="151" spans="2:13" x14ac:dyDescent="0.35">
      <c r="B151" s="11"/>
      <c r="C151" s="6"/>
      <c r="D151" s="6"/>
      <c r="E151" s="6"/>
      <c r="F151" s="6"/>
      <c r="L151" s="6"/>
      <c r="M151" s="6"/>
    </row>
    <row r="152" spans="2:13" x14ac:dyDescent="0.35">
      <c r="B152" s="11"/>
      <c r="C152" s="6"/>
      <c r="D152" s="6"/>
      <c r="E152" s="6"/>
      <c r="F152" s="6"/>
      <c r="L152" s="6"/>
      <c r="M152" s="6"/>
    </row>
    <row r="153" spans="2:13" x14ac:dyDescent="0.35">
      <c r="B153" s="11"/>
      <c r="C153" s="6"/>
      <c r="D153" s="6"/>
      <c r="E153" s="6"/>
      <c r="F153" s="6"/>
      <c r="L153" s="6"/>
      <c r="M153" s="6"/>
    </row>
    <row r="154" spans="2:13" x14ac:dyDescent="0.35">
      <c r="B154" s="11"/>
      <c r="C154" s="6"/>
      <c r="D154" s="6"/>
      <c r="E154" s="6"/>
      <c r="F154" s="6"/>
      <c r="L154" s="6"/>
      <c r="M154" s="6"/>
    </row>
    <row r="155" spans="2:13" x14ac:dyDescent="0.35">
      <c r="B155" s="11"/>
      <c r="C155" s="6"/>
      <c r="D155" s="6"/>
      <c r="E155" s="6"/>
      <c r="F155" s="6"/>
      <c r="L155" s="6"/>
      <c r="M155" s="6"/>
    </row>
    <row r="156" spans="2:13" x14ac:dyDescent="0.35">
      <c r="B156" s="11"/>
      <c r="C156" s="6"/>
      <c r="D156" s="6"/>
      <c r="E156" s="6"/>
      <c r="F156" s="6"/>
      <c r="L156" s="6"/>
      <c r="M156" s="6"/>
    </row>
    <row r="157" spans="2:13" x14ac:dyDescent="0.35">
      <c r="B157" s="11"/>
      <c r="C157" s="6"/>
      <c r="D157" s="6"/>
      <c r="E157" s="6"/>
      <c r="F157" s="6"/>
      <c r="L157" s="6"/>
      <c r="M157" s="6"/>
    </row>
    <row r="158" spans="2:13" x14ac:dyDescent="0.35">
      <c r="B158" s="11"/>
      <c r="C158" s="6"/>
      <c r="D158" s="6"/>
      <c r="E158" s="6"/>
      <c r="F158" s="6"/>
      <c r="L158" s="6"/>
      <c r="M158" s="6"/>
    </row>
    <row r="159" spans="2:13" x14ac:dyDescent="0.35">
      <c r="B159" s="11"/>
      <c r="C159" s="6"/>
      <c r="D159" s="6"/>
      <c r="E159" s="6"/>
      <c r="F159" s="6"/>
      <c r="L159" s="6"/>
      <c r="M159" s="6"/>
    </row>
    <row r="160" spans="2:13" x14ac:dyDescent="0.35">
      <c r="B160" s="11"/>
      <c r="C160" s="6"/>
      <c r="D160" s="6"/>
      <c r="E160" s="6"/>
      <c r="F160" s="6"/>
      <c r="L160" s="6"/>
      <c r="M160" s="6"/>
    </row>
    <row r="161" spans="2:13" x14ac:dyDescent="0.35">
      <c r="B161" s="11"/>
      <c r="C161" s="6"/>
      <c r="D161" s="6"/>
      <c r="E161" s="6"/>
      <c r="F161" s="6"/>
      <c r="L161" s="6"/>
      <c r="M161" s="6"/>
    </row>
    <row r="162" spans="2:13" x14ac:dyDescent="0.35">
      <c r="B162" s="11"/>
      <c r="C162" s="6"/>
      <c r="D162" s="6"/>
      <c r="E162" s="6"/>
      <c r="F162" s="6"/>
      <c r="L162" s="6"/>
      <c r="M162" s="6"/>
    </row>
    <row r="163" spans="2:13" x14ac:dyDescent="0.35">
      <c r="B163" s="11"/>
      <c r="C163" s="6"/>
      <c r="D163" s="6"/>
      <c r="E163" s="6"/>
      <c r="F163" s="6"/>
      <c r="L163" s="6"/>
      <c r="M163" s="6"/>
    </row>
    <row r="164" spans="2:13" x14ac:dyDescent="0.35">
      <c r="B164" s="11"/>
      <c r="C164" s="6"/>
      <c r="D164" s="6"/>
      <c r="E164" s="6"/>
      <c r="F164" s="6"/>
      <c r="L164" s="6"/>
      <c r="M164" s="6"/>
    </row>
  </sheetData>
  <mergeCells count="8">
    <mergeCell ref="B96:M96"/>
    <mergeCell ref="B3:C3"/>
    <mergeCell ref="P65:T65"/>
    <mergeCell ref="B133:B134"/>
    <mergeCell ref="B147:B148"/>
    <mergeCell ref="B122:B123"/>
    <mergeCell ref="P88:T88"/>
    <mergeCell ref="N87:T87"/>
  </mergeCells>
  <hyperlinks>
    <hyperlink ref="B96:M96" r:id="rId1" display="CLICK HERE TO CREATE IN SMARTSHEET" xr:uid="{74C7F050-0E76-441D-A65E-074413FE953B}"/>
  </hyperlinks>
  <pageMargins left="0.3" right="0.3" top="0.3" bottom="0.3" header="0" footer="0"/>
  <pageSetup paperSize="9" scale="88" fitToHeight="0" orientation="landscape" r:id="rId2"/>
  <ignoredErrors>
    <ignoredError sqref="H67:K67"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D235E-2A45-A344-8C23-4713383014DB}">
  <sheetPr>
    <tabColor theme="3" tint="0.39997558519241921"/>
    <pageSetUpPr fitToPage="1"/>
  </sheetPr>
  <dimension ref="A1:EQ163"/>
  <sheetViews>
    <sheetView showGridLines="0" zoomScaleNormal="100" workbookViewId="0">
      <selection activeCell="C4" sqref="C4"/>
    </sheetView>
  </sheetViews>
  <sheetFormatPr defaultColWidth="13.453125" defaultRowHeight="11.5" outlineLevelRow="1" x14ac:dyDescent="0.35"/>
  <cols>
    <col min="1" max="1" width="3.36328125" style="21" customWidth="1"/>
    <col min="2" max="2" width="36.81640625" style="21" customWidth="1"/>
    <col min="3" max="11" width="9.81640625" style="21" customWidth="1"/>
    <col min="12" max="13" width="12.81640625" style="27" customWidth="1"/>
    <col min="14" max="14" width="3.453125" style="21" customWidth="1"/>
    <col min="15" max="19" width="7" style="21" customWidth="1"/>
    <col min="20" max="20" width="6.81640625" style="21" customWidth="1"/>
    <col min="21" max="16384" width="13.453125" style="21"/>
  </cols>
  <sheetData>
    <row r="1" spans="2:147" s="240" customFormat="1" ht="45" customHeight="1" x14ac:dyDescent="0.35">
      <c r="B1" s="241" t="s">
        <v>88</v>
      </c>
      <c r="C1" s="242"/>
      <c r="D1" s="242"/>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c r="CN1" s="243"/>
      <c r="CO1" s="243"/>
      <c r="CP1" s="243"/>
      <c r="CQ1" s="243"/>
      <c r="CR1" s="243"/>
      <c r="CS1" s="243"/>
      <c r="CT1" s="243"/>
      <c r="CU1" s="243"/>
      <c r="CV1" s="243"/>
      <c r="CW1" s="243"/>
      <c r="CX1" s="243"/>
      <c r="CY1" s="243"/>
      <c r="CZ1" s="243"/>
      <c r="DA1" s="243"/>
      <c r="DB1" s="243"/>
      <c r="DC1" s="243"/>
      <c r="DD1" s="243"/>
      <c r="DE1" s="243"/>
      <c r="DF1" s="243"/>
      <c r="DG1" s="243"/>
      <c r="DH1" s="243"/>
      <c r="DI1" s="243"/>
      <c r="DJ1" s="243"/>
      <c r="DK1" s="243"/>
      <c r="DL1" s="243"/>
      <c r="DM1" s="243"/>
      <c r="DN1" s="243"/>
      <c r="DO1" s="243"/>
      <c r="DP1" s="243"/>
      <c r="DQ1" s="243"/>
      <c r="DR1" s="243"/>
      <c r="DS1" s="243"/>
      <c r="DT1" s="243"/>
      <c r="DU1" s="243"/>
      <c r="DV1" s="243"/>
      <c r="DW1" s="243"/>
      <c r="DX1" s="243"/>
      <c r="DY1" s="243"/>
      <c r="DZ1" s="243"/>
      <c r="EA1" s="243"/>
      <c r="EB1" s="243"/>
      <c r="EC1" s="243"/>
      <c r="ED1" s="243"/>
      <c r="EE1" s="243"/>
      <c r="EF1" s="243"/>
      <c r="EG1" s="243"/>
      <c r="EH1" s="243"/>
      <c r="EI1" s="243"/>
      <c r="EJ1" s="243"/>
      <c r="EK1" s="243"/>
      <c r="EL1" s="243"/>
      <c r="EM1" s="243"/>
      <c r="EN1" s="243"/>
      <c r="EO1" s="243"/>
      <c r="EP1" s="243"/>
      <c r="EQ1" s="243"/>
    </row>
    <row r="2" spans="2:147" s="43" customFormat="1" ht="25" customHeight="1" x14ac:dyDescent="0.35">
      <c r="B2" s="217" t="s">
        <v>82</v>
      </c>
      <c r="C2" s="107"/>
      <c r="D2" s="220"/>
      <c r="E2" s="107"/>
      <c r="F2" s="107"/>
      <c r="G2" s="107"/>
      <c r="H2" s="107"/>
      <c r="I2" s="107"/>
    </row>
    <row r="3" spans="2:147" s="43" customFormat="1" ht="45" customHeight="1" x14ac:dyDescent="0.35">
      <c r="B3" s="246" t="s">
        <v>92</v>
      </c>
      <c r="C3" s="246"/>
      <c r="D3" s="219"/>
      <c r="E3" s="107"/>
      <c r="F3" s="107"/>
      <c r="G3" s="107"/>
      <c r="H3" s="107"/>
      <c r="I3" s="107"/>
    </row>
    <row r="4" spans="2:147" s="29" customFormat="1" ht="25" customHeight="1" x14ac:dyDescent="0.35">
      <c r="B4" s="194" t="s">
        <v>83</v>
      </c>
      <c r="C4" s="196">
        <v>2022</v>
      </c>
    </row>
    <row r="5" spans="2:147" s="29" customFormat="1" ht="25" customHeight="1" thickBot="1" x14ac:dyDescent="0.4">
      <c r="B5" s="195" t="s">
        <v>84</v>
      </c>
      <c r="C5" s="197">
        <v>0.01</v>
      </c>
    </row>
    <row r="6" spans="2:147" ht="15" customHeight="1" x14ac:dyDescent="0.35">
      <c r="D6" s="13"/>
      <c r="L6" s="21"/>
      <c r="M6" s="36"/>
    </row>
    <row r="7" spans="2:147" s="43" customFormat="1" ht="25" customHeight="1" x14ac:dyDescent="0.35">
      <c r="B7" s="217" t="s">
        <v>85</v>
      </c>
      <c r="C7" s="107"/>
      <c r="D7" s="107"/>
      <c r="E7" s="107"/>
      <c r="F7" s="107"/>
      <c r="G7" s="107"/>
      <c r="H7" s="107"/>
      <c r="I7" s="107"/>
    </row>
    <row r="8" spans="2:147" s="45" customFormat="1" ht="18" customHeight="1" x14ac:dyDescent="0.35">
      <c r="B8" s="21"/>
      <c r="C8" s="68" t="s">
        <v>33</v>
      </c>
      <c r="D8" s="68"/>
      <c r="E8" s="68"/>
      <c r="F8" s="89"/>
      <c r="G8" s="69" t="s">
        <v>34</v>
      </c>
      <c r="H8" s="70"/>
      <c r="I8" s="70"/>
      <c r="J8" s="71"/>
      <c r="K8" s="91"/>
      <c r="L8" s="74" t="s">
        <v>5</v>
      </c>
      <c r="M8" s="74" t="s">
        <v>5</v>
      </c>
      <c r="N8" s="46"/>
      <c r="O8" s="47"/>
    </row>
    <row r="9" spans="2:147" s="45" customFormat="1" ht="18" customHeight="1" x14ac:dyDescent="0.35">
      <c r="B9" s="21"/>
      <c r="C9" s="67">
        <f t="shared" ref="C9:D9" si="0">D9-1</f>
        <v>2019</v>
      </c>
      <c r="D9" s="67">
        <f t="shared" si="0"/>
        <v>2020</v>
      </c>
      <c r="E9" s="67">
        <f>F9-1</f>
        <v>2021</v>
      </c>
      <c r="F9" s="90">
        <f>'Discounted Cash Flow - BLANK'!C4</f>
        <v>2022</v>
      </c>
      <c r="G9" s="72">
        <f>F9+1</f>
        <v>2023</v>
      </c>
      <c r="H9" s="72">
        <f>G9+1</f>
        <v>2024</v>
      </c>
      <c r="I9" s="72">
        <f t="shared" ref="I9:K9" si="1">H9+1</f>
        <v>2025</v>
      </c>
      <c r="J9" s="72">
        <f t="shared" si="1"/>
        <v>2026</v>
      </c>
      <c r="K9" s="92">
        <f t="shared" si="1"/>
        <v>2027</v>
      </c>
      <c r="L9" s="73" t="str">
        <f>C9&amp;"-"&amp;F9&amp;"A"</f>
        <v>2019-2022A</v>
      </c>
      <c r="M9" s="73" t="str">
        <f>G9&amp;"-"&amp;K9&amp;"E"</f>
        <v>2023-2027E</v>
      </c>
      <c r="N9" s="46"/>
      <c r="O9" s="47"/>
    </row>
    <row r="10" spans="2:147" s="45" customFormat="1" ht="18" customHeight="1" x14ac:dyDescent="0.35">
      <c r="B10" s="104" t="s">
        <v>43</v>
      </c>
      <c r="C10" s="128">
        <v>1</v>
      </c>
      <c r="D10" s="128">
        <v>1</v>
      </c>
      <c r="E10" s="128">
        <v>1</v>
      </c>
      <c r="F10" s="129">
        <v>1</v>
      </c>
      <c r="G10" s="130">
        <f>F10*(1+G11)</f>
        <v>1.01</v>
      </c>
      <c r="H10" s="130">
        <f t="shared" ref="H10:K10" si="2">G10*(1+H11)</f>
        <v>1.01</v>
      </c>
      <c r="I10" s="130">
        <f t="shared" si="2"/>
        <v>0.99990000000000001</v>
      </c>
      <c r="J10" s="130">
        <f t="shared" si="2"/>
        <v>0.97990199999999994</v>
      </c>
      <c r="K10" s="131">
        <f t="shared" si="2"/>
        <v>0.95050493999999996</v>
      </c>
      <c r="L10" s="132">
        <f>(F10/C10)^(1/3)-1</f>
        <v>0</v>
      </c>
      <c r="M10" s="132">
        <f>(K10/G10)^(1/4)-1</f>
        <v>-1.5063456436968159E-2</v>
      </c>
      <c r="N10" s="46"/>
      <c r="O10" s="47"/>
    </row>
    <row r="11" spans="2:147" s="47" customFormat="1" ht="18" customHeight="1" x14ac:dyDescent="0.35">
      <c r="B11" s="98" t="s">
        <v>44</v>
      </c>
      <c r="C11" s="132"/>
      <c r="D11" s="132">
        <f>(D10/C10)-1</f>
        <v>0</v>
      </c>
      <c r="E11" s="132">
        <f>(E10/D10)-1</f>
        <v>0</v>
      </c>
      <c r="F11" s="133">
        <f>(F10/E10)-1</f>
        <v>0</v>
      </c>
      <c r="G11" s="157">
        <v>0.01</v>
      </c>
      <c r="H11" s="158">
        <f>G11-1%</f>
        <v>0</v>
      </c>
      <c r="I11" s="158">
        <f t="shared" ref="I11:K11" si="3">H11-1%</f>
        <v>-0.01</v>
      </c>
      <c r="J11" s="158">
        <f t="shared" si="3"/>
        <v>-0.02</v>
      </c>
      <c r="K11" s="159">
        <f t="shared" si="3"/>
        <v>-0.03</v>
      </c>
      <c r="L11" s="132"/>
      <c r="M11" s="132"/>
      <c r="N11" s="46"/>
    </row>
    <row r="12" spans="2:147" s="47" customFormat="1" ht="18" customHeight="1" x14ac:dyDescent="0.35">
      <c r="B12" s="106" t="s">
        <v>30</v>
      </c>
      <c r="C12" s="134">
        <v>1</v>
      </c>
      <c r="D12" s="134">
        <v>1</v>
      </c>
      <c r="E12" s="134">
        <v>1</v>
      </c>
      <c r="F12" s="135">
        <v>1</v>
      </c>
      <c r="G12" s="136">
        <f>-(G10-G13)</f>
        <v>1143.6971087500001</v>
      </c>
      <c r="H12" s="136">
        <f>-(H10-H13)</f>
        <v>1143.6971087500001</v>
      </c>
      <c r="I12" s="136">
        <f>-(I10-I13)</f>
        <v>1132.2601376625</v>
      </c>
      <c r="J12" s="136">
        <f>-(J10-J13)</f>
        <v>1109.61493490925</v>
      </c>
      <c r="K12" s="137">
        <f>-(K10-K13)</f>
        <v>1076.3264868619726</v>
      </c>
      <c r="L12" s="138">
        <f>IFERROR((F12/C12)^(1/3)-1,"N/A")</f>
        <v>0</v>
      </c>
      <c r="M12" s="138">
        <f>IFERROR((K12/G12)^(1/4)-1,"N/A")</f>
        <v>-1.5063456436968159E-2</v>
      </c>
      <c r="N12" s="46"/>
    </row>
    <row r="13" spans="2:147" s="47" customFormat="1" ht="18" customHeight="1" x14ac:dyDescent="0.35">
      <c r="B13" s="93" t="s">
        <v>36</v>
      </c>
      <c r="C13" s="139">
        <v>857.03700000000003</v>
      </c>
      <c r="D13" s="139">
        <v>1052.5894999999998</v>
      </c>
      <c r="E13" s="139">
        <v>1271.713</v>
      </c>
      <c r="F13" s="140">
        <v>1352.154</v>
      </c>
      <c r="G13" s="141">
        <f>G14*G10</f>
        <v>1144.7071087500001</v>
      </c>
      <c r="H13" s="141">
        <f>H14*H10</f>
        <v>1144.7071087500001</v>
      </c>
      <c r="I13" s="141">
        <f>I14*I10</f>
        <v>1133.2600376625001</v>
      </c>
      <c r="J13" s="141">
        <f>J14*J10</f>
        <v>1110.59483690925</v>
      </c>
      <c r="K13" s="142">
        <f>K14*K10</f>
        <v>1077.2769918019726</v>
      </c>
      <c r="L13" s="143">
        <f>IFERROR((F13/C13)^(1/3)-1,"N/A")</f>
        <v>0.16414978383876488</v>
      </c>
      <c r="M13" s="143">
        <f>IFERROR((K13/G13)^(1/4)-1,"N/A")</f>
        <v>-1.5063456436968159E-2</v>
      </c>
      <c r="N13" s="46"/>
    </row>
    <row r="14" spans="2:147" s="47" customFormat="1" ht="18" customHeight="1" x14ac:dyDescent="0.35">
      <c r="B14" s="105" t="s">
        <v>45</v>
      </c>
      <c r="C14" s="132">
        <f>C13/C10</f>
        <v>857.03700000000003</v>
      </c>
      <c r="D14" s="132">
        <f>D13/D10</f>
        <v>1052.5894999999998</v>
      </c>
      <c r="E14" s="132">
        <f>E13/E10</f>
        <v>1271.713</v>
      </c>
      <c r="F14" s="133">
        <f>F13/F10</f>
        <v>1352.154</v>
      </c>
      <c r="G14" s="160">
        <f>AVERAGE(C14:F14)</f>
        <v>1133.3733750000001</v>
      </c>
      <c r="H14" s="158">
        <f>G14</f>
        <v>1133.3733750000001</v>
      </c>
      <c r="I14" s="158">
        <f t="shared" ref="I14:K14" si="4">H14</f>
        <v>1133.3733750000001</v>
      </c>
      <c r="J14" s="158">
        <f t="shared" si="4"/>
        <v>1133.3733750000001</v>
      </c>
      <c r="K14" s="159">
        <f t="shared" si="4"/>
        <v>1133.3733750000001</v>
      </c>
      <c r="L14" s="132"/>
      <c r="M14" s="132"/>
      <c r="N14" s="46"/>
    </row>
    <row r="15" spans="2:147" s="47" customFormat="1" ht="18" customHeight="1" x14ac:dyDescent="0.35">
      <c r="B15" s="106" t="s">
        <v>29</v>
      </c>
      <c r="C15" s="128">
        <v>1</v>
      </c>
      <c r="D15" s="128">
        <v>1</v>
      </c>
      <c r="E15" s="128">
        <v>1</v>
      </c>
      <c r="F15" s="129">
        <v>1</v>
      </c>
      <c r="G15" s="130">
        <f>F15*(1+G16)</f>
        <v>1.04</v>
      </c>
      <c r="H15" s="130">
        <f t="shared" ref="H15:K15" si="5">G15*(1+H16)</f>
        <v>1.07952</v>
      </c>
      <c r="I15" s="130">
        <f t="shared" si="5"/>
        <v>1.1184906720000001</v>
      </c>
      <c r="J15" s="130">
        <f t="shared" si="5"/>
        <v>1.15684930959624</v>
      </c>
      <c r="K15" s="131">
        <f t="shared" si="5"/>
        <v>1.194539749315213</v>
      </c>
      <c r="L15" s="138">
        <f>IFERROR((F15/C15)^(1/3)-1,"N/A")</f>
        <v>0</v>
      </c>
      <c r="M15" s="138">
        <f>IFERROR((K15/G15)^(1/4)-1,"N/A")</f>
        <v>3.5241841550752939E-2</v>
      </c>
      <c r="N15" s="46"/>
    </row>
    <row r="16" spans="2:147" s="47" customFormat="1" ht="18" customHeight="1" x14ac:dyDescent="0.35">
      <c r="B16" s="105" t="s">
        <v>44</v>
      </c>
      <c r="C16" s="132"/>
      <c r="D16" s="132">
        <f>(D15/C15)-1</f>
        <v>0</v>
      </c>
      <c r="E16" s="132">
        <f>(E15/D15)-1</f>
        <v>0</v>
      </c>
      <c r="F16" s="133">
        <f>(F15/E15)-1</f>
        <v>0</v>
      </c>
      <c r="G16" s="160">
        <v>0.04</v>
      </c>
      <c r="H16" s="160">
        <f>G16*0.95</f>
        <v>3.7999999999999999E-2</v>
      </c>
      <c r="I16" s="160">
        <f t="shared" ref="I16:K16" si="6">H16*0.95</f>
        <v>3.61E-2</v>
      </c>
      <c r="J16" s="160">
        <f t="shared" si="6"/>
        <v>3.4294999999999999E-2</v>
      </c>
      <c r="K16" s="161">
        <f t="shared" si="6"/>
        <v>3.2580249999999998E-2</v>
      </c>
      <c r="L16" s="132"/>
      <c r="M16" s="132"/>
      <c r="N16" s="46"/>
    </row>
    <row r="17" spans="2:14" s="52" customFormat="1" ht="18" customHeight="1" x14ac:dyDescent="0.35">
      <c r="B17" s="98" t="s">
        <v>46</v>
      </c>
      <c r="C17" s="132">
        <f t="shared" ref="C17:K17" si="7">-C15/C10</f>
        <v>-1</v>
      </c>
      <c r="D17" s="132">
        <f t="shared" si="7"/>
        <v>-1</v>
      </c>
      <c r="E17" s="132">
        <f t="shared" si="7"/>
        <v>-1</v>
      </c>
      <c r="F17" s="133">
        <f t="shared" si="7"/>
        <v>-1</v>
      </c>
      <c r="G17" s="144">
        <f t="shared" si="7"/>
        <v>-1.0297029702970297</v>
      </c>
      <c r="H17" s="144">
        <f t="shared" si="7"/>
        <v>-1.0688316831683169</v>
      </c>
      <c r="I17" s="144">
        <f t="shared" si="7"/>
        <v>-1.1186025322532254</v>
      </c>
      <c r="J17" s="144">
        <f t="shared" si="7"/>
        <v>-1.1805765368335202</v>
      </c>
      <c r="K17" s="145">
        <f t="shared" si="7"/>
        <v>-1.2567422840697842</v>
      </c>
      <c r="L17" s="132"/>
      <c r="M17" s="132"/>
    </row>
    <row r="18" spans="2:14" s="47" customFormat="1" ht="18" customHeight="1" x14ac:dyDescent="0.35">
      <c r="B18" s="94" t="s">
        <v>35</v>
      </c>
      <c r="C18" s="146">
        <f t="shared" ref="C18:K18" si="8">C15+C12</f>
        <v>2</v>
      </c>
      <c r="D18" s="146">
        <f t="shared" si="8"/>
        <v>2</v>
      </c>
      <c r="E18" s="146">
        <f t="shared" si="8"/>
        <v>2</v>
      </c>
      <c r="F18" s="147">
        <f t="shared" si="8"/>
        <v>2</v>
      </c>
      <c r="G18" s="148">
        <f t="shared" si="8"/>
        <v>1144.7371087500001</v>
      </c>
      <c r="H18" s="148">
        <f t="shared" si="8"/>
        <v>1144.7766287500001</v>
      </c>
      <c r="I18" s="148">
        <f t="shared" si="8"/>
        <v>1133.3786283345</v>
      </c>
      <c r="J18" s="148">
        <f t="shared" si="8"/>
        <v>1110.7717842188463</v>
      </c>
      <c r="K18" s="149">
        <f t="shared" si="8"/>
        <v>1077.5210266112879</v>
      </c>
      <c r="L18" s="150">
        <f>(F18/C18)^(1/3)-1</f>
        <v>0</v>
      </c>
      <c r="M18" s="150">
        <f>(K18/G18)^(1/4)-1</f>
        <v>-1.5014135386654859E-2</v>
      </c>
      <c r="N18" s="46"/>
    </row>
    <row r="19" spans="2:14" s="47" customFormat="1" ht="18" customHeight="1" x14ac:dyDescent="0.35">
      <c r="B19" s="105" t="s">
        <v>44</v>
      </c>
      <c r="C19" s="132"/>
      <c r="D19" s="132">
        <f>(D18/C18)-1</f>
        <v>0</v>
      </c>
      <c r="E19" s="132">
        <f>(E18/D18)-1</f>
        <v>0</v>
      </c>
      <c r="F19" s="133">
        <f>(F18/E18)-1</f>
        <v>0</v>
      </c>
      <c r="G19" s="144">
        <f t="shared" ref="G19:K19" si="9">(G18/F18)-1</f>
        <v>571.36855437500003</v>
      </c>
      <c r="H19" s="144">
        <f t="shared" si="9"/>
        <v>3.4523210349357569E-5</v>
      </c>
      <c r="I19" s="144">
        <f t="shared" si="9"/>
        <v>-9.9565278756134079E-3</v>
      </c>
      <c r="J19" s="144">
        <f t="shared" si="9"/>
        <v>-1.994641821407428E-2</v>
      </c>
      <c r="K19" s="145">
        <f t="shared" si="9"/>
        <v>-2.9934823768450469E-2</v>
      </c>
      <c r="L19" s="132"/>
      <c r="M19" s="132"/>
      <c r="N19" s="46"/>
    </row>
    <row r="20" spans="2:14" s="47" customFormat="1" ht="18" customHeight="1" x14ac:dyDescent="0.35">
      <c r="B20" s="94" t="s">
        <v>0</v>
      </c>
      <c r="C20" s="151">
        <f t="shared" ref="C20:K20" si="10">C18+C10</f>
        <v>3</v>
      </c>
      <c r="D20" s="151">
        <f t="shared" si="10"/>
        <v>3</v>
      </c>
      <c r="E20" s="151">
        <f t="shared" si="10"/>
        <v>3</v>
      </c>
      <c r="F20" s="152">
        <f t="shared" si="10"/>
        <v>3</v>
      </c>
      <c r="G20" s="153">
        <f t="shared" si="10"/>
        <v>1145.7471087500001</v>
      </c>
      <c r="H20" s="153">
        <f t="shared" si="10"/>
        <v>1145.7866287500001</v>
      </c>
      <c r="I20" s="153">
        <f t="shared" si="10"/>
        <v>1134.3785283345001</v>
      </c>
      <c r="J20" s="153">
        <f t="shared" si="10"/>
        <v>1111.7516862188463</v>
      </c>
      <c r="K20" s="154">
        <f t="shared" si="10"/>
        <v>1078.4715315512879</v>
      </c>
      <c r="L20" s="150">
        <f>(F20/C20)^(1/3)-1</f>
        <v>0</v>
      </c>
      <c r="M20" s="150">
        <f>(K20/G20)^(1/4)-1</f>
        <v>-1.501417886092804E-2</v>
      </c>
      <c r="N20" s="46"/>
    </row>
    <row r="21" spans="2:14" s="47" customFormat="1" ht="18" customHeight="1" x14ac:dyDescent="0.35">
      <c r="B21" s="105" t="s">
        <v>45</v>
      </c>
      <c r="C21" s="132">
        <f t="shared" ref="C21:K21" si="11">C20/C10</f>
        <v>3</v>
      </c>
      <c r="D21" s="132">
        <f t="shared" si="11"/>
        <v>3</v>
      </c>
      <c r="E21" s="132">
        <f t="shared" si="11"/>
        <v>3</v>
      </c>
      <c r="F21" s="133">
        <f t="shared" si="11"/>
        <v>3</v>
      </c>
      <c r="G21" s="144">
        <f t="shared" si="11"/>
        <v>1134.4030779702971</v>
      </c>
      <c r="H21" s="144">
        <f t="shared" si="11"/>
        <v>1134.4422066831685</v>
      </c>
      <c r="I21" s="144">
        <f t="shared" si="11"/>
        <v>1134.4919775322533</v>
      </c>
      <c r="J21" s="144">
        <f t="shared" si="11"/>
        <v>1134.5539515368337</v>
      </c>
      <c r="K21" s="145">
        <f t="shared" si="11"/>
        <v>1134.6301172840699</v>
      </c>
      <c r="L21" s="132"/>
      <c r="M21" s="132"/>
      <c r="N21" s="46"/>
    </row>
    <row r="22" spans="2:14" s="47" customFormat="1" ht="18" customHeight="1" x14ac:dyDescent="0.35">
      <c r="B22" s="104" t="s">
        <v>28</v>
      </c>
      <c r="C22" s="128">
        <v>1</v>
      </c>
      <c r="D22" s="128">
        <v>1</v>
      </c>
      <c r="E22" s="128">
        <v>1</v>
      </c>
      <c r="F22" s="129">
        <v>1</v>
      </c>
      <c r="G22" s="155">
        <f>-G10*G23</f>
        <v>1.01</v>
      </c>
      <c r="H22" s="155">
        <f>-H10*H23</f>
        <v>1.01</v>
      </c>
      <c r="I22" s="155">
        <f>-I10*I23</f>
        <v>0.99990000000000001</v>
      </c>
      <c r="J22" s="155">
        <f>-J10*J23</f>
        <v>0.97990199999999994</v>
      </c>
      <c r="K22" s="156">
        <f>-K10*K23</f>
        <v>0.95050493999999996</v>
      </c>
      <c r="L22" s="138">
        <f>IFERROR((F22/C22)^(1/3)-1,"N/A")</f>
        <v>0</v>
      </c>
      <c r="M22" s="138">
        <f>IFERROR((K22/G22)^(1/4)-1,"N/A")</f>
        <v>-1.5063456436968159E-2</v>
      </c>
      <c r="N22" s="46"/>
    </row>
    <row r="23" spans="2:14" s="52" customFormat="1" ht="18" customHeight="1" x14ac:dyDescent="0.35">
      <c r="B23" s="98" t="s">
        <v>46</v>
      </c>
      <c r="C23" s="132">
        <f>-(C22/C10)</f>
        <v>-1</v>
      </c>
      <c r="D23" s="132">
        <f>-(D22/D10)</f>
        <v>-1</v>
      </c>
      <c r="E23" s="132">
        <f>-(E22/E10)</f>
        <v>-1</v>
      </c>
      <c r="F23" s="133">
        <f>-(F22/F10)</f>
        <v>-1</v>
      </c>
      <c r="G23" s="160">
        <f>AVERAGE(C23:F23)</f>
        <v>-1</v>
      </c>
      <c r="H23" s="160">
        <f>G23</f>
        <v>-1</v>
      </c>
      <c r="I23" s="160">
        <f t="shared" ref="I23:K23" si="12">H23</f>
        <v>-1</v>
      </c>
      <c r="J23" s="160">
        <f t="shared" si="12"/>
        <v>-1</v>
      </c>
      <c r="K23" s="161">
        <f t="shared" si="12"/>
        <v>-1</v>
      </c>
      <c r="L23" s="132"/>
      <c r="M23" s="132"/>
    </row>
    <row r="24" spans="2:14" ht="15" customHeight="1" x14ac:dyDescent="0.35">
      <c r="D24" s="13"/>
      <c r="L24" s="21"/>
      <c r="M24" s="36"/>
    </row>
    <row r="25" spans="2:14" s="43" customFormat="1" ht="25" customHeight="1" outlineLevel="1" x14ac:dyDescent="0.35">
      <c r="B25" s="218" t="s">
        <v>53</v>
      </c>
      <c r="C25" s="107"/>
      <c r="D25" s="107"/>
      <c r="E25" s="107"/>
      <c r="F25" s="107"/>
      <c r="G25" s="107"/>
      <c r="H25" s="107"/>
      <c r="I25" s="107"/>
    </row>
    <row r="26" spans="2:14" s="43" customFormat="1" ht="25" customHeight="1" outlineLevel="1" x14ac:dyDescent="0.35">
      <c r="B26" s="207" t="s">
        <v>67</v>
      </c>
      <c r="C26" s="107"/>
      <c r="D26" s="107"/>
      <c r="E26" s="107"/>
      <c r="F26" s="107"/>
      <c r="G26" s="107"/>
      <c r="H26" s="107"/>
      <c r="I26" s="107"/>
    </row>
    <row r="27" spans="2:14" s="43" customFormat="1" ht="18" customHeight="1" outlineLevel="1" x14ac:dyDescent="0.35">
      <c r="B27" s="198" t="s">
        <v>73</v>
      </c>
      <c r="C27" s="107"/>
      <c r="D27" s="107"/>
      <c r="E27" s="107"/>
      <c r="F27" s="107"/>
      <c r="G27" s="107"/>
      <c r="H27" s="107"/>
      <c r="I27" s="107"/>
    </row>
    <row r="28" spans="2:14" s="39" customFormat="1" ht="45" customHeight="1" outlineLevel="1" x14ac:dyDescent="0.35">
      <c r="B28" s="208" t="s">
        <v>60</v>
      </c>
      <c r="C28" s="124" t="s">
        <v>61</v>
      </c>
      <c r="D28" s="124" t="s">
        <v>62</v>
      </c>
      <c r="E28" s="124" t="s">
        <v>63</v>
      </c>
      <c r="F28" s="124" t="s">
        <v>64</v>
      </c>
      <c r="G28" s="124" t="s">
        <v>65</v>
      </c>
      <c r="H28" s="124" t="s">
        <v>66</v>
      </c>
      <c r="I28" s="124" t="s">
        <v>89</v>
      </c>
    </row>
    <row r="29" spans="2:14" s="39" customFormat="1" ht="18" customHeight="1" outlineLevel="1" x14ac:dyDescent="0.35">
      <c r="B29" s="209" t="s">
        <v>68</v>
      </c>
      <c r="C29" s="162">
        <v>1</v>
      </c>
      <c r="D29" s="162">
        <v>1</v>
      </c>
      <c r="E29" s="163">
        <v>1</v>
      </c>
      <c r="F29" s="122">
        <f>D29/E29</f>
        <v>1</v>
      </c>
      <c r="G29" s="122">
        <f>E29/(D29+E29)</f>
        <v>0.5</v>
      </c>
      <c r="H29" s="164">
        <v>0.01</v>
      </c>
      <c r="I29" s="123">
        <f>C29/(1+(F29)*(1-H29))</f>
        <v>0.50251256281407031</v>
      </c>
    </row>
    <row r="30" spans="2:14" s="39" customFormat="1" ht="18" customHeight="1" outlineLevel="1" x14ac:dyDescent="0.35">
      <c r="B30" s="210" t="s">
        <v>69</v>
      </c>
      <c r="C30" s="162">
        <v>1</v>
      </c>
      <c r="D30" s="162">
        <v>1</v>
      </c>
      <c r="E30" s="163">
        <v>1</v>
      </c>
      <c r="F30" s="122">
        <f>D30/E30</f>
        <v>1</v>
      </c>
      <c r="G30" s="122">
        <f>E30/(D30+E30)</f>
        <v>0.5</v>
      </c>
      <c r="H30" s="164">
        <v>0.01</v>
      </c>
      <c r="I30" s="123">
        <f>C30/(1+(F30)*(1-H30))</f>
        <v>0.50251256281407031</v>
      </c>
    </row>
    <row r="31" spans="2:14" s="39" customFormat="1" ht="18" customHeight="1" outlineLevel="1" x14ac:dyDescent="0.35">
      <c r="B31" s="210" t="s">
        <v>70</v>
      </c>
      <c r="C31" s="162">
        <v>1</v>
      </c>
      <c r="D31" s="162">
        <v>1</v>
      </c>
      <c r="E31" s="163">
        <v>1</v>
      </c>
      <c r="F31" s="122">
        <f>D31/E31</f>
        <v>1</v>
      </c>
      <c r="G31" s="122">
        <f>E31/(D31+E31)</f>
        <v>0.5</v>
      </c>
      <c r="H31" s="164">
        <v>0.01</v>
      </c>
      <c r="I31" s="123">
        <f>C31/(1+(F31)*(1-H31))</f>
        <v>0.50251256281407031</v>
      </c>
    </row>
    <row r="32" spans="2:14" s="39" customFormat="1" ht="18" customHeight="1" outlineLevel="1" x14ac:dyDescent="0.35">
      <c r="B32" s="210" t="s">
        <v>71</v>
      </c>
      <c r="C32" s="162">
        <v>1</v>
      </c>
      <c r="D32" s="162">
        <v>1</v>
      </c>
      <c r="E32" s="163">
        <v>1</v>
      </c>
      <c r="F32" s="122">
        <f>D32/E32</f>
        <v>1</v>
      </c>
      <c r="G32" s="122">
        <f>E32/(D32+E32)</f>
        <v>0.5</v>
      </c>
      <c r="H32" s="164">
        <v>0.01</v>
      </c>
      <c r="I32" s="123">
        <f>C32/(1+(F32)*(1-H32))</f>
        <v>0.50251256281407031</v>
      </c>
    </row>
    <row r="33" spans="2:10" s="39" customFormat="1" ht="18" customHeight="1" outlineLevel="1" x14ac:dyDescent="0.35">
      <c r="B33" s="211" t="s">
        <v>72</v>
      </c>
      <c r="C33" s="162">
        <v>1</v>
      </c>
      <c r="D33" s="162">
        <v>1</v>
      </c>
      <c r="E33" s="163">
        <v>1</v>
      </c>
      <c r="F33" s="122">
        <f>D33/E33</f>
        <v>1</v>
      </c>
      <c r="G33" s="122">
        <f>E33/(D33+E33)</f>
        <v>0.5</v>
      </c>
      <c r="H33" s="164">
        <v>0.01</v>
      </c>
      <c r="I33" s="123">
        <f>C33/(1+(F33)*(1-H33))</f>
        <v>0.50251256281407031</v>
      </c>
    </row>
    <row r="34" spans="2:10" s="39" customFormat="1" ht="18" customHeight="1" outlineLevel="1" x14ac:dyDescent="0.35">
      <c r="B34" s="212" t="s">
        <v>54</v>
      </c>
      <c r="C34" s="114">
        <f>MEDIAN(C29:C33)</f>
        <v>1</v>
      </c>
      <c r="D34" s="114"/>
      <c r="E34" s="114"/>
      <c r="F34" s="115">
        <f>MEDIAN(F29:F33)</f>
        <v>1</v>
      </c>
      <c r="G34" s="115">
        <f>MEDIAN(G29:G33)</f>
        <v>0.5</v>
      </c>
      <c r="H34" s="116"/>
      <c r="I34" s="114">
        <f>MEDIAN(I29:I33)</f>
        <v>0.50251256281407031</v>
      </c>
    </row>
    <row r="35" spans="2:10" s="39" customFormat="1" ht="18" customHeight="1" outlineLevel="1" x14ac:dyDescent="0.35">
      <c r="B35" s="213" t="s">
        <v>55</v>
      </c>
      <c r="C35" s="111">
        <f>AVERAGE(C29:C33)</f>
        <v>1</v>
      </c>
      <c r="D35" s="111"/>
      <c r="E35" s="111"/>
      <c r="F35" s="112">
        <f>AVERAGE(F29:F33)</f>
        <v>1</v>
      </c>
      <c r="G35" s="112">
        <f>AVERAGE(G29:G33)</f>
        <v>0.5</v>
      </c>
      <c r="H35" s="113"/>
      <c r="I35" s="111">
        <f>AVERAGE(I29:I33)</f>
        <v>0.50251256281407031</v>
      </c>
    </row>
    <row r="36" spans="2:10" s="39" customFormat="1" ht="18" customHeight="1" outlineLevel="1" x14ac:dyDescent="0.35">
      <c r="B36" s="214" t="s">
        <v>22</v>
      </c>
      <c r="C36" s="108"/>
      <c r="D36" s="108"/>
      <c r="E36" s="108"/>
      <c r="F36" s="108"/>
      <c r="G36" s="108"/>
      <c r="H36" s="108"/>
      <c r="I36" s="108"/>
    </row>
    <row r="37" spans="2:10" s="39" customFormat="1" ht="18" customHeight="1" outlineLevel="1" x14ac:dyDescent="0.35">
      <c r="B37" s="214" t="s">
        <v>23</v>
      </c>
      <c r="C37" s="108"/>
      <c r="D37" s="108"/>
      <c r="E37" s="108"/>
      <c r="F37" s="108"/>
      <c r="G37" s="108"/>
      <c r="H37" s="108"/>
      <c r="I37" s="108"/>
    </row>
    <row r="38" spans="2:10" s="39" customFormat="1" ht="18" customHeight="1" outlineLevel="1" x14ac:dyDescent="0.35">
      <c r="B38" s="214" t="s">
        <v>24</v>
      </c>
      <c r="C38" s="108"/>
      <c r="D38" s="108"/>
      <c r="E38" s="108"/>
      <c r="F38" s="108"/>
      <c r="G38" s="108"/>
      <c r="H38" s="108"/>
      <c r="I38" s="108"/>
    </row>
    <row r="39" spans="2:10" s="39" customFormat="1" ht="18" customHeight="1" outlineLevel="1" x14ac:dyDescent="0.35">
      <c r="B39" s="214" t="s">
        <v>25</v>
      </c>
      <c r="C39" s="108"/>
      <c r="D39" s="108"/>
      <c r="E39" s="108"/>
      <c r="F39" s="108"/>
      <c r="G39" s="108"/>
      <c r="H39" s="108"/>
      <c r="I39" s="108"/>
    </row>
    <row r="40" spans="2:10" s="39" customFormat="1" ht="45" customHeight="1" outlineLevel="1" x14ac:dyDescent="0.35">
      <c r="B40" s="215" t="s">
        <v>56</v>
      </c>
      <c r="C40" s="125"/>
      <c r="D40" s="126" t="s">
        <v>57</v>
      </c>
      <c r="E40" s="126" t="s">
        <v>58</v>
      </c>
      <c r="F40" s="126" t="s">
        <v>59</v>
      </c>
      <c r="G40" s="127" t="s">
        <v>56</v>
      </c>
      <c r="H40" s="109"/>
      <c r="I40" s="108"/>
    </row>
    <row r="41" spans="2:10" s="38" customFormat="1" ht="18" customHeight="1" outlineLevel="1" x14ac:dyDescent="0.35">
      <c r="B41" s="216" t="s">
        <v>26</v>
      </c>
      <c r="C41" s="117"/>
      <c r="D41" s="118">
        <f>I35</f>
        <v>0.50251256281407031</v>
      </c>
      <c r="E41" s="119">
        <f>F35</f>
        <v>1</v>
      </c>
      <c r="F41" s="120">
        <f>'Discounted Cash Flow - BLANK'!C5</f>
        <v>0.01</v>
      </c>
      <c r="G41" s="121">
        <f>D41*(1+(E41)*(1-F41))</f>
        <v>0.99999999999999989</v>
      </c>
      <c r="H41" s="110"/>
      <c r="I41" s="110"/>
    </row>
    <row r="42" spans="2:10" ht="15" customHeight="1" x14ac:dyDescent="0.35">
      <c r="C42" s="18"/>
      <c r="D42" s="2"/>
      <c r="E42" s="2"/>
      <c r="F42" s="2"/>
    </row>
    <row r="43" spans="2:10" s="43" customFormat="1" ht="25" customHeight="1" outlineLevel="1" x14ac:dyDescent="0.35">
      <c r="B43" s="218" t="s">
        <v>75</v>
      </c>
      <c r="C43" s="107"/>
      <c r="D43" s="107"/>
      <c r="E43" s="107"/>
      <c r="F43" s="107"/>
      <c r="G43" s="107"/>
      <c r="H43" s="107"/>
      <c r="I43" s="107"/>
    </row>
    <row r="44" spans="2:10" s="43" customFormat="1" ht="18" customHeight="1" outlineLevel="1" x14ac:dyDescent="0.35">
      <c r="B44" s="198" t="s">
        <v>73</v>
      </c>
      <c r="C44" s="107"/>
      <c r="D44" s="107"/>
      <c r="E44" s="107"/>
      <c r="F44" s="107"/>
      <c r="G44" s="107"/>
      <c r="H44" s="107"/>
      <c r="I44" s="107"/>
    </row>
    <row r="45" spans="2:10" s="30" customFormat="1" ht="18" customHeight="1" outlineLevel="1" x14ac:dyDescent="0.35">
      <c r="B45" s="199" t="s">
        <v>76</v>
      </c>
      <c r="C45" s="181"/>
      <c r="D45" s="193" t="s">
        <v>74</v>
      </c>
      <c r="E45" s="77"/>
      <c r="F45" s="174"/>
      <c r="G45" s="136"/>
      <c r="H45" s="175"/>
      <c r="I45" s="80"/>
      <c r="J45" s="14"/>
    </row>
    <row r="46" spans="2:10" s="30" customFormat="1" ht="18" customHeight="1" outlineLevel="1" x14ac:dyDescent="0.35">
      <c r="B46" s="200" t="s">
        <v>7</v>
      </c>
      <c r="C46" s="182">
        <f>1-C47</f>
        <v>0.5</v>
      </c>
      <c r="D46" s="192"/>
      <c r="E46" s="168"/>
      <c r="F46" s="169"/>
      <c r="G46" s="169"/>
      <c r="H46" s="169"/>
      <c r="I46" s="169"/>
      <c r="J46" s="14"/>
    </row>
    <row r="47" spans="2:10" s="30" customFormat="1" ht="18" customHeight="1" outlineLevel="1" x14ac:dyDescent="0.35">
      <c r="B47" s="200" t="s">
        <v>8</v>
      </c>
      <c r="C47" s="182">
        <f>'Discounted Cash Flow - BLANK'!G35</f>
        <v>0.5</v>
      </c>
      <c r="D47" s="192"/>
      <c r="E47" s="168"/>
      <c r="F47" s="169"/>
      <c r="G47" s="169"/>
      <c r="H47" s="169"/>
      <c r="I47" s="169"/>
      <c r="J47" s="14"/>
    </row>
    <row r="48" spans="2:10" s="30" customFormat="1" ht="18" customHeight="1" outlineLevel="1" x14ac:dyDescent="0.35">
      <c r="B48" s="200" t="s">
        <v>27</v>
      </c>
      <c r="C48" s="182">
        <f>'Discounted Cash Flow - BLANK'!F35</f>
        <v>1</v>
      </c>
      <c r="D48" s="192"/>
      <c r="E48" s="168"/>
      <c r="F48" s="169"/>
      <c r="G48" s="169"/>
      <c r="H48" s="169"/>
      <c r="I48" s="169"/>
      <c r="J48" s="14"/>
    </row>
    <row r="49" spans="2:22" s="30" customFormat="1" ht="18" customHeight="1" outlineLevel="1" x14ac:dyDescent="0.35">
      <c r="B49" s="199" t="s">
        <v>77</v>
      </c>
      <c r="C49" s="183"/>
      <c r="D49" s="192"/>
      <c r="E49" s="168"/>
      <c r="F49" s="169"/>
      <c r="G49" s="169"/>
      <c r="H49" s="169"/>
      <c r="I49" s="169"/>
      <c r="J49" s="14"/>
    </row>
    <row r="50" spans="2:22" s="30" customFormat="1" ht="18" customHeight="1" outlineLevel="1" x14ac:dyDescent="0.35">
      <c r="B50" s="200" t="s">
        <v>18</v>
      </c>
      <c r="C50" s="184">
        <v>0.01</v>
      </c>
      <c r="D50" s="192"/>
      <c r="E50" s="168"/>
      <c r="F50" s="169"/>
      <c r="G50" s="169"/>
      <c r="H50" s="169"/>
      <c r="I50" s="169"/>
      <c r="J50" s="14"/>
    </row>
    <row r="51" spans="2:22" s="30" customFormat="1" ht="18" customHeight="1" outlineLevel="1" x14ac:dyDescent="0.35">
      <c r="B51" s="200" t="s">
        <v>19</v>
      </c>
      <c r="C51" s="184">
        <v>0.01</v>
      </c>
      <c r="D51" s="192"/>
      <c r="E51" s="168"/>
      <c r="F51" s="169"/>
      <c r="G51" s="169"/>
      <c r="H51" s="169"/>
      <c r="I51" s="169"/>
      <c r="J51" s="14"/>
    </row>
    <row r="52" spans="2:22" s="30" customFormat="1" ht="18" customHeight="1" outlineLevel="1" x14ac:dyDescent="0.35">
      <c r="B52" s="200" t="s">
        <v>20</v>
      </c>
      <c r="C52" s="185">
        <f>'Discounted Cash Flow - BLANK'!G41</f>
        <v>0.99999999999999989</v>
      </c>
      <c r="D52" s="192"/>
      <c r="E52" s="168"/>
      <c r="F52" s="169"/>
      <c r="G52" s="169"/>
      <c r="H52" s="169"/>
      <c r="I52" s="169"/>
      <c r="J52" s="14"/>
    </row>
    <row r="53" spans="2:22" s="30" customFormat="1" ht="18" customHeight="1" outlineLevel="1" x14ac:dyDescent="0.35">
      <c r="B53" s="201" t="s">
        <v>21</v>
      </c>
      <c r="C53" s="186">
        <v>0.01</v>
      </c>
      <c r="D53" s="192"/>
      <c r="E53" s="168"/>
      <c r="F53" s="169"/>
      <c r="G53" s="169"/>
      <c r="H53" s="169"/>
      <c r="I53" s="169"/>
      <c r="J53" s="14"/>
    </row>
    <row r="54" spans="2:22" s="30" customFormat="1" ht="18" customHeight="1" outlineLevel="1" x14ac:dyDescent="0.35">
      <c r="B54" s="202" t="s">
        <v>77</v>
      </c>
      <c r="C54" s="187">
        <f>C50+(C52*C51)+C53</f>
        <v>0.03</v>
      </c>
      <c r="D54" s="192"/>
      <c r="E54" s="168"/>
      <c r="F54" s="169"/>
      <c r="G54" s="169"/>
      <c r="H54" s="169"/>
      <c r="I54" s="169"/>
      <c r="J54" s="34"/>
    </row>
    <row r="55" spans="2:22" s="30" customFormat="1" ht="18" customHeight="1" outlineLevel="1" x14ac:dyDescent="0.35">
      <c r="B55" s="203" t="s">
        <v>79</v>
      </c>
      <c r="C55" s="188"/>
      <c r="D55" s="192"/>
      <c r="E55" s="168"/>
      <c r="F55" s="169"/>
      <c r="G55" s="169"/>
      <c r="H55" s="169"/>
      <c r="I55" s="169"/>
      <c r="J55" s="36"/>
    </row>
    <row r="56" spans="2:22" s="30" customFormat="1" ht="18" customHeight="1" outlineLevel="1" x14ac:dyDescent="0.35">
      <c r="B56" s="204" t="s">
        <v>6</v>
      </c>
      <c r="C56" s="184">
        <v>0.01</v>
      </c>
      <c r="D56" s="192"/>
      <c r="E56" s="168"/>
      <c r="F56" s="169"/>
      <c r="G56" s="169"/>
      <c r="H56" s="169"/>
      <c r="I56" s="169"/>
      <c r="J56" s="36"/>
    </row>
    <row r="57" spans="2:22" s="30" customFormat="1" ht="18" customHeight="1" outlineLevel="1" x14ac:dyDescent="0.35">
      <c r="B57" s="205" t="s">
        <v>80</v>
      </c>
      <c r="C57" s="189">
        <f>'Discounted Cash Flow - BLANK'!C5</f>
        <v>0.01</v>
      </c>
      <c r="D57" s="192"/>
      <c r="E57" s="168"/>
      <c r="F57" s="169"/>
      <c r="G57" s="169"/>
      <c r="H57" s="169"/>
      <c r="I57" s="169"/>
      <c r="J57" s="36"/>
    </row>
    <row r="58" spans="2:22" s="30" customFormat="1" ht="18" customHeight="1" outlineLevel="1" x14ac:dyDescent="0.35">
      <c r="B58" s="202" t="s">
        <v>78</v>
      </c>
      <c r="C58" s="190">
        <f>C56*(1-C57)</f>
        <v>9.9000000000000008E-3</v>
      </c>
      <c r="D58" s="178"/>
      <c r="E58" s="179"/>
      <c r="F58" s="180"/>
      <c r="G58" s="180"/>
      <c r="H58" s="180"/>
      <c r="I58" s="180"/>
      <c r="J58" s="36"/>
    </row>
    <row r="59" spans="2:22" s="30" customFormat="1" ht="18" customHeight="1" outlineLevel="1" thickBot="1" x14ac:dyDescent="0.4">
      <c r="B59" s="206" t="s">
        <v>2</v>
      </c>
      <c r="C59" s="191">
        <f>(C58*C46)+(C54*C47)</f>
        <v>1.9949999999999999E-2</v>
      </c>
      <c r="D59" s="170"/>
      <c r="E59" s="171"/>
      <c r="F59" s="172"/>
      <c r="G59" s="173"/>
      <c r="H59" s="173"/>
      <c r="I59" s="173"/>
      <c r="J59" s="36"/>
    </row>
    <row r="60" spans="2:22" s="47" customFormat="1" ht="12" customHeight="1" outlineLevel="1" thickTop="1" x14ac:dyDescent="0.35">
      <c r="B60" s="48"/>
      <c r="C60" s="49"/>
      <c r="D60" s="49"/>
      <c r="E60" s="49"/>
      <c r="F60" s="49"/>
      <c r="G60" s="55"/>
      <c r="H60" s="55"/>
      <c r="I60" s="55"/>
      <c r="J60" s="55"/>
      <c r="K60" s="55"/>
      <c r="L60" s="49"/>
      <c r="M60" s="49"/>
      <c r="U60" s="46"/>
      <c r="V60" s="46"/>
    </row>
    <row r="61" spans="2:22" s="43" customFormat="1" ht="25" customHeight="1" outlineLevel="1" x14ac:dyDescent="0.35">
      <c r="B61" s="221" t="s">
        <v>81</v>
      </c>
      <c r="C61" s="107"/>
      <c r="D61" s="107"/>
      <c r="E61" s="107"/>
      <c r="F61" s="107"/>
      <c r="G61" s="107"/>
      <c r="H61" s="107"/>
      <c r="I61" s="107"/>
    </row>
    <row r="62" spans="2:22" s="47" customFormat="1" ht="12" customHeight="1" outlineLevel="1" x14ac:dyDescent="0.35">
      <c r="B62" s="48"/>
      <c r="C62" s="49"/>
      <c r="D62" s="49"/>
      <c r="E62" s="49"/>
      <c r="F62" s="49"/>
      <c r="G62" s="55"/>
      <c r="H62" s="55"/>
      <c r="I62" s="55"/>
      <c r="J62" s="55"/>
      <c r="K62" s="55"/>
      <c r="L62" s="49"/>
      <c r="M62" s="49"/>
      <c r="U62" s="46"/>
      <c r="V62" s="46"/>
    </row>
    <row r="63" spans="2:22" s="47" customFormat="1" ht="18" customHeight="1" x14ac:dyDescent="0.35">
      <c r="B63" s="94" t="s">
        <v>1</v>
      </c>
      <c r="C63" s="146">
        <f t="shared" ref="C63:K63" si="13">C20+C22</f>
        <v>4</v>
      </c>
      <c r="D63" s="146">
        <f t="shared" si="13"/>
        <v>4</v>
      </c>
      <c r="E63" s="146">
        <f t="shared" si="13"/>
        <v>4</v>
      </c>
      <c r="F63" s="147">
        <f t="shared" si="13"/>
        <v>4</v>
      </c>
      <c r="G63" s="148">
        <f t="shared" si="13"/>
        <v>1146.75710875</v>
      </c>
      <c r="H63" s="148">
        <f t="shared" si="13"/>
        <v>1146.7966287500001</v>
      </c>
      <c r="I63" s="148">
        <f t="shared" si="13"/>
        <v>1135.3784283345001</v>
      </c>
      <c r="J63" s="148">
        <f t="shared" si="13"/>
        <v>1112.7315882188464</v>
      </c>
      <c r="K63" s="149">
        <f t="shared" si="13"/>
        <v>1079.4220364912878</v>
      </c>
      <c r="L63" s="150">
        <f>(F63/C63)^(1/3)-1</f>
        <v>0</v>
      </c>
      <c r="M63" s="150">
        <f>(K63/G63)^(1/4)-1</f>
        <v>-1.5014222258627363E-2</v>
      </c>
    </row>
    <row r="64" spans="2:22" s="47" customFormat="1" ht="18" customHeight="1" x14ac:dyDescent="0.35">
      <c r="B64" s="104" t="s">
        <v>94</v>
      </c>
      <c r="C64" s="128">
        <v>1</v>
      </c>
      <c r="D64" s="128">
        <v>1</v>
      </c>
      <c r="E64" s="128">
        <v>1</v>
      </c>
      <c r="F64" s="129">
        <v>1</v>
      </c>
      <c r="G64" s="130">
        <f>'Discounted Cash Flow - BLANK'!$C$57*-G63</f>
        <v>-11.467571087500001</v>
      </c>
      <c r="H64" s="130">
        <f>'Discounted Cash Flow - BLANK'!$C$57*-H63</f>
        <v>-11.467966287500001</v>
      </c>
      <c r="I64" s="130">
        <f>'Discounted Cash Flow - BLANK'!$C$57*-I63</f>
        <v>-11.353784283345002</v>
      </c>
      <c r="J64" s="130">
        <f>'Discounted Cash Flow - BLANK'!$C$57*-J63</f>
        <v>-11.127315882188464</v>
      </c>
      <c r="K64" s="131">
        <f>'Discounted Cash Flow - BLANK'!$C$57*-K63</f>
        <v>-10.794220364912878</v>
      </c>
      <c r="L64" s="138">
        <f>IFERROR((F64/C64)^(1/3)-1,"N/A")</f>
        <v>0</v>
      </c>
      <c r="M64" s="138">
        <f>IFERROR((K64/G64)^(1/4)-1,"N/A")</f>
        <v>-1.5014222258627363E-2</v>
      </c>
    </row>
    <row r="65" spans="1:22" s="47" customFormat="1" ht="18" customHeight="1" x14ac:dyDescent="0.35">
      <c r="B65" s="104" t="s">
        <v>4</v>
      </c>
      <c r="C65" s="128"/>
      <c r="D65" s="128">
        <v>1</v>
      </c>
      <c r="E65" s="128">
        <v>1</v>
      </c>
      <c r="F65" s="129">
        <v>1</v>
      </c>
      <c r="G65" s="130">
        <f>-(G66*G10)</f>
        <v>1.01</v>
      </c>
      <c r="H65" s="130">
        <f>-(H66*H10)</f>
        <v>1.01</v>
      </c>
      <c r="I65" s="130">
        <f>-(I66*I10)</f>
        <v>0.99990000000000001</v>
      </c>
      <c r="J65" s="130">
        <f>-(J66*J10)</f>
        <v>0.97990199999999994</v>
      </c>
      <c r="K65" s="131">
        <f>-(K66*K10)</f>
        <v>0.95050493999999996</v>
      </c>
      <c r="L65" s="222" t="str">
        <f>IFERROR((F65/C65)^(1/3)-1,"N/A")</f>
        <v>N/A</v>
      </c>
      <c r="M65" s="222">
        <f>IFERROR((K65/G65)^(1/4)-1,"n.a.")</f>
        <v>-1.5063456436968159E-2</v>
      </c>
      <c r="N65" s="46"/>
      <c r="O65" s="46"/>
      <c r="P65" s="247"/>
      <c r="Q65" s="247"/>
      <c r="R65" s="247"/>
      <c r="S65" s="247"/>
      <c r="T65" s="247"/>
      <c r="U65" s="46"/>
      <c r="V65" s="46"/>
    </row>
    <row r="66" spans="1:22" s="47" customFormat="1" ht="18" customHeight="1" x14ac:dyDescent="0.35">
      <c r="B66" s="98" t="s">
        <v>46</v>
      </c>
      <c r="C66" s="222"/>
      <c r="D66" s="132">
        <f>-D65/D10</f>
        <v>-1</v>
      </c>
      <c r="E66" s="132">
        <f>-E65/E10</f>
        <v>-1</v>
      </c>
      <c r="F66" s="133">
        <f>-F65/F10</f>
        <v>-1</v>
      </c>
      <c r="G66" s="160">
        <f>AVERAGE(D66:F66)</f>
        <v>-1</v>
      </c>
      <c r="H66" s="160">
        <f>G66</f>
        <v>-1</v>
      </c>
      <c r="I66" s="160">
        <f t="shared" ref="I66:K66" si="14">H66</f>
        <v>-1</v>
      </c>
      <c r="J66" s="160">
        <f t="shared" si="14"/>
        <v>-1</v>
      </c>
      <c r="K66" s="161">
        <f t="shared" si="14"/>
        <v>-1</v>
      </c>
      <c r="L66" s="132"/>
      <c r="M66" s="132"/>
      <c r="N66" s="54"/>
      <c r="O66" s="54"/>
      <c r="P66" s="50"/>
      <c r="Q66" s="50"/>
      <c r="R66" s="50"/>
      <c r="S66" s="50"/>
      <c r="T66" s="50"/>
      <c r="U66" s="46"/>
      <c r="V66" s="46"/>
    </row>
    <row r="67" spans="1:22" s="47" customFormat="1" ht="18" customHeight="1" x14ac:dyDescent="0.35">
      <c r="A67" s="46"/>
      <c r="B67" s="104" t="s">
        <v>15</v>
      </c>
      <c r="C67" s="128">
        <v>1</v>
      </c>
      <c r="D67" s="128">
        <v>1</v>
      </c>
      <c r="E67" s="128">
        <v>1</v>
      </c>
      <c r="F67" s="129">
        <v>1</v>
      </c>
      <c r="G67" s="130">
        <f>G68*G10</f>
        <v>1.01</v>
      </c>
      <c r="H67" s="130">
        <f>H68*H10</f>
        <v>1.01</v>
      </c>
      <c r="I67" s="130">
        <f>I68*I10</f>
        <v>0.99990000000000001</v>
      </c>
      <c r="J67" s="130">
        <f>J68*J10</f>
        <v>0.97990199999999994</v>
      </c>
      <c r="K67" s="131">
        <f>K68*K10</f>
        <v>0.95050493999999996</v>
      </c>
      <c r="L67" s="222"/>
      <c r="M67" s="222"/>
      <c r="N67" s="46"/>
      <c r="O67" s="46"/>
    </row>
    <row r="68" spans="1:22" s="47" customFormat="1" ht="18" customHeight="1" x14ac:dyDescent="0.35">
      <c r="A68" s="46"/>
      <c r="B68" s="98" t="s">
        <v>46</v>
      </c>
      <c r="C68" s="132">
        <f>C67/C10</f>
        <v>1</v>
      </c>
      <c r="D68" s="132">
        <f>D67/D10</f>
        <v>1</v>
      </c>
      <c r="E68" s="132">
        <f>E67/E10</f>
        <v>1</v>
      </c>
      <c r="F68" s="133">
        <f>F67/F10</f>
        <v>1</v>
      </c>
      <c r="G68" s="160">
        <f>F68</f>
        <v>1</v>
      </c>
      <c r="H68" s="160">
        <f>G68</f>
        <v>1</v>
      </c>
      <c r="I68" s="160">
        <f t="shared" ref="I68:K68" si="15">H68</f>
        <v>1</v>
      </c>
      <c r="J68" s="160">
        <f t="shared" si="15"/>
        <v>1</v>
      </c>
      <c r="K68" s="161">
        <f t="shared" si="15"/>
        <v>1</v>
      </c>
      <c r="L68" s="222"/>
      <c r="M68" s="222"/>
      <c r="N68" s="46"/>
      <c r="O68" s="46"/>
    </row>
    <row r="69" spans="1:22" s="47" customFormat="1" ht="18" customHeight="1" x14ac:dyDescent="0.35">
      <c r="B69" s="104" t="s">
        <v>90</v>
      </c>
      <c r="C69" s="223"/>
      <c r="D69" s="222">
        <f t="shared" ref="D69:K69" si="16">C67-D67</f>
        <v>0</v>
      </c>
      <c r="E69" s="222">
        <f t="shared" si="16"/>
        <v>0</v>
      </c>
      <c r="F69" s="224">
        <f t="shared" si="16"/>
        <v>0</v>
      </c>
      <c r="G69" s="130">
        <f t="shared" si="16"/>
        <v>-1.0000000000000009E-2</v>
      </c>
      <c r="H69" s="130">
        <f t="shared" si="16"/>
        <v>0</v>
      </c>
      <c r="I69" s="130">
        <f t="shared" si="16"/>
        <v>1.0099999999999998E-2</v>
      </c>
      <c r="J69" s="130">
        <f t="shared" si="16"/>
        <v>1.9998000000000071E-2</v>
      </c>
      <c r="K69" s="131">
        <f t="shared" si="16"/>
        <v>2.9397059999999975E-2</v>
      </c>
      <c r="L69" s="225"/>
      <c r="M69" s="225"/>
      <c r="N69" s="56"/>
      <c r="O69" s="50"/>
      <c r="P69" s="53"/>
      <c r="Q69" s="53"/>
      <c r="R69" s="53"/>
      <c r="S69" s="53"/>
      <c r="T69" s="53"/>
      <c r="U69" s="46"/>
      <c r="V69" s="46"/>
    </row>
    <row r="70" spans="1:22" s="47" customFormat="1" ht="18" customHeight="1" x14ac:dyDescent="0.35">
      <c r="B70" s="94" t="s">
        <v>37</v>
      </c>
      <c r="C70" s="146"/>
      <c r="D70" s="146">
        <f t="shared" ref="D70:K70" si="17">D20+D64+D65+D69</f>
        <v>5</v>
      </c>
      <c r="E70" s="146">
        <f t="shared" si="17"/>
        <v>5</v>
      </c>
      <c r="F70" s="147">
        <f t="shared" si="17"/>
        <v>5</v>
      </c>
      <c r="G70" s="148">
        <f t="shared" si="17"/>
        <v>1135.2795376625002</v>
      </c>
      <c r="H70" s="148">
        <f t="shared" si="17"/>
        <v>1135.3286624625</v>
      </c>
      <c r="I70" s="148">
        <f t="shared" si="17"/>
        <v>1124.034744051155</v>
      </c>
      <c r="J70" s="148">
        <f t="shared" si="17"/>
        <v>1101.6242703366579</v>
      </c>
      <c r="K70" s="149">
        <f t="shared" si="17"/>
        <v>1068.657213186375</v>
      </c>
      <c r="L70" s="146"/>
      <c r="M70" s="146"/>
      <c r="N70" s="56"/>
      <c r="O70" s="50"/>
      <c r="P70" s="53"/>
      <c r="Q70" s="53"/>
      <c r="R70" s="53"/>
      <c r="S70" s="53"/>
      <c r="T70" s="53"/>
      <c r="U70" s="46"/>
      <c r="V70" s="46"/>
    </row>
    <row r="71" spans="1:22" s="47" customFormat="1" ht="18" customHeight="1" x14ac:dyDescent="0.35">
      <c r="B71" s="104" t="s">
        <v>2</v>
      </c>
      <c r="C71" s="226"/>
      <c r="D71" s="222"/>
      <c r="E71" s="222"/>
      <c r="F71" s="224"/>
      <c r="G71" s="176">
        <f>WACC</f>
        <v>1.9949999999999999E-2</v>
      </c>
      <c r="H71" s="176">
        <f>WACC</f>
        <v>1.9949999999999999E-2</v>
      </c>
      <c r="I71" s="176">
        <f>WACC</f>
        <v>1.9949999999999999E-2</v>
      </c>
      <c r="J71" s="176">
        <f>WACC</f>
        <v>1.9949999999999999E-2</v>
      </c>
      <c r="K71" s="183">
        <f>WACC</f>
        <v>1.9949999999999999E-2</v>
      </c>
      <c r="L71" s="222"/>
      <c r="M71" s="222"/>
      <c r="N71" s="46"/>
      <c r="O71" s="46"/>
      <c r="P71" s="46"/>
      <c r="Q71" s="46"/>
      <c r="R71" s="46"/>
      <c r="S71" s="46"/>
      <c r="T71" s="46"/>
      <c r="U71" s="46"/>
      <c r="V71" s="46"/>
    </row>
    <row r="72" spans="1:22" s="47" customFormat="1" ht="18" customHeight="1" x14ac:dyDescent="0.35">
      <c r="B72" s="104" t="s">
        <v>9</v>
      </c>
      <c r="C72" s="222"/>
      <c r="D72" s="222"/>
      <c r="E72" s="222"/>
      <c r="F72" s="224"/>
      <c r="G72" s="227">
        <v>1</v>
      </c>
      <c r="H72" s="228">
        <f>G72+1</f>
        <v>2</v>
      </c>
      <c r="I72" s="228">
        <f>H72+1</f>
        <v>3</v>
      </c>
      <c r="J72" s="228">
        <f>I72+1</f>
        <v>4</v>
      </c>
      <c r="K72" s="229">
        <f>J72+1</f>
        <v>5</v>
      </c>
      <c r="L72" s="222"/>
      <c r="M72" s="222"/>
      <c r="N72" s="46"/>
      <c r="O72" s="46"/>
      <c r="P72" s="46"/>
      <c r="Q72" s="46"/>
      <c r="R72" s="46"/>
      <c r="S72" s="46"/>
      <c r="T72" s="46"/>
      <c r="U72" s="46"/>
      <c r="V72" s="46"/>
    </row>
    <row r="73" spans="1:22" s="47" customFormat="1" ht="18" customHeight="1" x14ac:dyDescent="0.35">
      <c r="B73" s="104" t="s">
        <v>10</v>
      </c>
      <c r="C73" s="222"/>
      <c r="D73" s="222"/>
      <c r="E73" s="222"/>
      <c r="F73" s="224"/>
      <c r="G73" s="177">
        <f>1/((1+G71)^G72)</f>
        <v>0.98044021765772837</v>
      </c>
      <c r="H73" s="177">
        <f>1/((1+H71)^H72)</f>
        <v>0.96126302040073375</v>
      </c>
      <c r="I73" s="177">
        <f>1/((1+I71)^I72)</f>
        <v>0.94246092494802092</v>
      </c>
      <c r="J73" s="177">
        <f>1/((1+J71)^J72)</f>
        <v>0.9240265943899415</v>
      </c>
      <c r="K73" s="185">
        <f>1/((1+K71)^K72)</f>
        <v>0.90595283532520365</v>
      </c>
      <c r="L73" s="222"/>
      <c r="M73" s="222"/>
      <c r="N73" s="46"/>
      <c r="O73" s="46"/>
      <c r="P73" s="46"/>
      <c r="Q73" s="46"/>
      <c r="R73" s="46"/>
      <c r="S73" s="46"/>
      <c r="T73" s="46"/>
      <c r="U73" s="46"/>
      <c r="V73" s="46"/>
    </row>
    <row r="74" spans="1:22" s="47" customFormat="1" ht="18" customHeight="1" thickBot="1" x14ac:dyDescent="0.4">
      <c r="B74" s="96" t="s">
        <v>47</v>
      </c>
      <c r="C74" s="230"/>
      <c r="D74" s="230"/>
      <c r="E74" s="230"/>
      <c r="F74" s="231"/>
      <c r="G74" s="232">
        <f>G73*G70</f>
        <v>1113.0737170081868</v>
      </c>
      <c r="H74" s="232">
        <f>H73*H70</f>
        <v>1091.349459226228</v>
      </c>
      <c r="I74" s="232">
        <f>I73*I70</f>
        <v>1059.3588245521635</v>
      </c>
      <c r="J74" s="232">
        <f>J73*J70</f>
        <v>1017.9301228164862</v>
      </c>
      <c r="K74" s="233">
        <f>K73*K70</f>
        <v>968.15303227692698</v>
      </c>
      <c r="L74" s="230"/>
      <c r="M74" s="230"/>
      <c r="N74" s="56"/>
      <c r="O74" s="50"/>
      <c r="P74" s="53"/>
      <c r="Q74" s="53"/>
      <c r="R74" s="53"/>
      <c r="S74" s="53"/>
      <c r="T74" s="53"/>
      <c r="U74" s="46"/>
      <c r="V74" s="46"/>
    </row>
    <row r="75" spans="1:22" s="47" customFormat="1" ht="18" customHeight="1" thickTop="1" x14ac:dyDescent="0.35">
      <c r="B75" s="48"/>
      <c r="C75" s="49"/>
      <c r="D75" s="49"/>
      <c r="E75" s="49"/>
      <c r="F75" s="49"/>
      <c r="G75" s="55"/>
      <c r="H75" s="55"/>
      <c r="I75" s="55"/>
      <c r="J75" s="55"/>
      <c r="K75" s="55"/>
      <c r="L75" s="49"/>
      <c r="M75" s="49"/>
      <c r="U75" s="46"/>
      <c r="V75" s="46"/>
    </row>
    <row r="76" spans="1:22" s="47" customFormat="1" ht="18" customHeight="1" x14ac:dyDescent="0.35">
      <c r="B76" s="76" t="s">
        <v>38</v>
      </c>
      <c r="C76" s="76"/>
      <c r="D76" s="49"/>
      <c r="E76" s="58" t="s">
        <v>39</v>
      </c>
      <c r="F76" s="57"/>
      <c r="G76" s="234">
        <f>F9</f>
        <v>2022</v>
      </c>
      <c r="H76" s="235">
        <f>G9</f>
        <v>2023</v>
      </c>
      <c r="I76" s="235">
        <f>H9</f>
        <v>2024</v>
      </c>
      <c r="J76" s="235">
        <f>I9</f>
        <v>2025</v>
      </c>
      <c r="K76" s="235">
        <f>J9</f>
        <v>2026</v>
      </c>
      <c r="L76" s="49"/>
      <c r="M76" s="49"/>
      <c r="U76" s="46"/>
      <c r="V76" s="46"/>
    </row>
    <row r="77" spans="1:22" s="47" customFormat="1" ht="18" customHeight="1" x14ac:dyDescent="0.35">
      <c r="B77" s="77" t="s">
        <v>32</v>
      </c>
      <c r="C77" s="75">
        <f>SUM('Discounted Cash Flow - BLANK'!G74:K74)+'Discounted Cash Flow - BLANK'!C93</f>
        <v>102558.83207772869</v>
      </c>
      <c r="D77" s="49"/>
      <c r="E77" s="84" t="s">
        <v>3</v>
      </c>
      <c r="F77" s="84"/>
      <c r="G77" s="236">
        <f>EV/F10</f>
        <v>102558.83207772869</v>
      </c>
      <c r="H77" s="236">
        <f>EV/G10</f>
        <v>101543.39809676107</v>
      </c>
      <c r="I77" s="236">
        <f>EV/H10</f>
        <v>101543.39809676107</v>
      </c>
      <c r="J77" s="236">
        <f>EV/I10</f>
        <v>102569.08898662735</v>
      </c>
      <c r="K77" s="236">
        <f>EV/J10</f>
        <v>104662.33570064016</v>
      </c>
      <c r="L77" s="49"/>
      <c r="M77" s="49"/>
    </row>
    <row r="78" spans="1:22" s="47" customFormat="1" ht="18" customHeight="1" outlineLevel="1" x14ac:dyDescent="0.35">
      <c r="B78" s="78" t="s">
        <v>48</v>
      </c>
      <c r="C78" s="165">
        <v>1</v>
      </c>
      <c r="D78" s="49"/>
      <c r="E78" s="167" t="s">
        <v>40</v>
      </c>
      <c r="F78" s="81"/>
      <c r="G78" s="237"/>
      <c r="H78" s="237"/>
      <c r="I78" s="237"/>
      <c r="J78" s="237"/>
      <c r="K78" s="237"/>
      <c r="L78" s="49"/>
      <c r="M78" s="49"/>
    </row>
    <row r="79" spans="1:22" s="47" customFormat="1" ht="18" customHeight="1" outlineLevel="1" x14ac:dyDescent="0.35">
      <c r="B79" s="78" t="s">
        <v>17</v>
      </c>
      <c r="C79" s="165">
        <v>1</v>
      </c>
      <c r="D79" s="49"/>
      <c r="E79" s="167" t="s">
        <v>40</v>
      </c>
      <c r="F79" s="81"/>
      <c r="G79" s="237"/>
      <c r="H79" s="237"/>
      <c r="I79" s="237"/>
      <c r="J79" s="237"/>
      <c r="K79" s="237"/>
      <c r="L79" s="49"/>
      <c r="M79" s="49"/>
    </row>
    <row r="80" spans="1:22" s="47" customFormat="1" ht="18" customHeight="1" outlineLevel="1" x14ac:dyDescent="0.35">
      <c r="B80" s="79" t="s">
        <v>49</v>
      </c>
      <c r="C80" s="80">
        <f>C78-C79</f>
        <v>0</v>
      </c>
      <c r="D80" s="49"/>
      <c r="E80" s="167" t="s">
        <v>40</v>
      </c>
      <c r="F80" s="83"/>
      <c r="G80" s="238"/>
      <c r="H80" s="238"/>
      <c r="I80" s="238"/>
      <c r="J80" s="238"/>
      <c r="K80" s="238"/>
      <c r="L80" s="49"/>
      <c r="M80" s="49"/>
    </row>
    <row r="81" spans="1:21" s="47" customFormat="1" ht="18" customHeight="1" x14ac:dyDescent="0.35">
      <c r="B81" s="81" t="s">
        <v>50</v>
      </c>
      <c r="C81" s="82">
        <f>C77-C80</f>
        <v>102558.83207772869</v>
      </c>
      <c r="D81" s="49"/>
      <c r="E81" s="81" t="s">
        <v>0</v>
      </c>
      <c r="F81" s="81"/>
      <c r="G81" s="237">
        <f>EV/F20</f>
        <v>34186.277359242893</v>
      </c>
      <c r="H81" s="237">
        <f>EV/G20</f>
        <v>89.512625687198522</v>
      </c>
      <c r="I81" s="237">
        <f>EV/H20</f>
        <v>89.509538254618661</v>
      </c>
      <c r="J81" s="237">
        <f>EV/I20</f>
        <v>90.409708502069449</v>
      </c>
      <c r="K81" s="237">
        <f>EV/J20</f>
        <v>92.249765256969596</v>
      </c>
      <c r="L81" s="49"/>
      <c r="M81" s="49"/>
    </row>
    <row r="82" spans="1:21" s="47" customFormat="1" ht="18" customHeight="1" outlineLevel="1" x14ac:dyDescent="0.35">
      <c r="B82" s="78" t="s">
        <v>51</v>
      </c>
      <c r="C82" s="80">
        <v>10000</v>
      </c>
      <c r="D82" s="49"/>
      <c r="E82" s="167" t="s">
        <v>40</v>
      </c>
      <c r="F82" s="83"/>
      <c r="G82" s="238"/>
      <c r="H82" s="238"/>
      <c r="I82" s="238"/>
      <c r="J82" s="238"/>
      <c r="K82" s="238"/>
      <c r="L82" s="49"/>
      <c r="M82" s="49"/>
    </row>
    <row r="83" spans="1:21" s="47" customFormat="1" ht="18" customHeight="1" x14ac:dyDescent="0.35">
      <c r="B83" s="85" t="s">
        <v>52</v>
      </c>
      <c r="C83" s="86">
        <f>C81/C82</f>
        <v>10.255883207772868</v>
      </c>
      <c r="D83" s="49"/>
      <c r="E83" s="85" t="s">
        <v>1</v>
      </c>
      <c r="F83" s="85"/>
      <c r="G83" s="239">
        <f>EV/F63</f>
        <v>25639.708019432172</v>
      </c>
      <c r="H83" s="239">
        <f>EV/G63</f>
        <v>89.433787935721554</v>
      </c>
      <c r="I83" s="239">
        <f>EV/H63</f>
        <v>89.430705939131556</v>
      </c>
      <c r="J83" s="239">
        <f>EV/I63</f>
        <v>90.330086884047489</v>
      </c>
      <c r="K83" s="239">
        <f>EV/J63</f>
        <v>92.168527579858676</v>
      </c>
      <c r="L83" s="49"/>
      <c r="M83" s="49"/>
    </row>
    <row r="84" spans="1:21" s="47" customFormat="1" ht="18" customHeight="1" x14ac:dyDescent="0.35">
      <c r="B84" s="57"/>
      <c r="C84" s="57"/>
      <c r="D84" s="49"/>
      <c r="E84" s="58"/>
      <c r="F84" s="57"/>
      <c r="G84" s="59"/>
      <c r="H84" s="57"/>
      <c r="I84" s="59"/>
      <c r="J84" s="59"/>
      <c r="K84" s="59"/>
      <c r="L84" s="49"/>
      <c r="M84" s="49"/>
    </row>
    <row r="85" spans="1:21" s="47" customFormat="1" ht="18" customHeight="1" x14ac:dyDescent="0.35">
      <c r="A85" s="46"/>
      <c r="B85" s="87" t="s">
        <v>41</v>
      </c>
      <c r="C85" s="88"/>
      <c r="D85" s="55"/>
      <c r="M85" s="49"/>
      <c r="N85" s="46"/>
      <c r="O85" s="46"/>
      <c r="P85" s="46"/>
      <c r="Q85" s="46"/>
      <c r="R85" s="46"/>
      <c r="S85" s="46"/>
      <c r="T85" s="46"/>
      <c r="U85" s="46"/>
    </row>
    <row r="86" spans="1:21" s="47" customFormat="1" ht="18" customHeight="1" x14ac:dyDescent="0.35">
      <c r="A86" s="46"/>
      <c r="B86" s="100" t="s">
        <v>14</v>
      </c>
      <c r="C86" s="80">
        <f>K70</f>
        <v>1068.657213186375</v>
      </c>
      <c r="D86" s="51"/>
      <c r="M86" s="51"/>
      <c r="N86" s="46"/>
      <c r="O86" s="46"/>
      <c r="P86" s="46"/>
      <c r="Q86" s="46"/>
      <c r="R86" s="46"/>
      <c r="S86" s="46"/>
      <c r="T86" s="46"/>
      <c r="U86" s="46"/>
    </row>
    <row r="87" spans="1:21" s="47" customFormat="1" ht="18" customHeight="1" x14ac:dyDescent="0.35">
      <c r="A87" s="46"/>
      <c r="B87" s="100" t="s">
        <v>13</v>
      </c>
      <c r="C87" s="166">
        <v>0.01</v>
      </c>
      <c r="D87" s="49"/>
      <c r="M87" s="49"/>
      <c r="N87" s="249"/>
      <c r="O87" s="249"/>
      <c r="P87" s="249"/>
      <c r="Q87" s="249"/>
      <c r="R87" s="249"/>
      <c r="S87" s="249"/>
      <c r="T87" s="249"/>
      <c r="U87" s="46"/>
    </row>
    <row r="88" spans="1:21" s="47" customFormat="1" ht="18" customHeight="1" x14ac:dyDescent="0.35">
      <c r="A88" s="46"/>
      <c r="B88" s="100" t="s">
        <v>12</v>
      </c>
      <c r="C88" s="80">
        <f>K20</f>
        <v>1078.4715315512879</v>
      </c>
      <c r="D88" s="49"/>
      <c r="M88" s="49"/>
      <c r="N88" s="46"/>
      <c r="O88" s="46"/>
      <c r="P88" s="249"/>
      <c r="Q88" s="249"/>
      <c r="R88" s="249"/>
      <c r="S88" s="249"/>
      <c r="T88" s="249"/>
      <c r="U88" s="46"/>
    </row>
    <row r="89" spans="1:21" s="47" customFormat="1" ht="18" customHeight="1" x14ac:dyDescent="0.35">
      <c r="A89" s="46"/>
      <c r="B89" s="100" t="s">
        <v>11</v>
      </c>
      <c r="C89" s="80">
        <f>C86*(1+C87)/(WACC-C87)</f>
        <v>108476.7623435416</v>
      </c>
      <c r="D89" s="49"/>
      <c r="M89" s="49"/>
      <c r="N89" s="60"/>
      <c r="O89" s="61"/>
      <c r="P89" s="62"/>
      <c r="Q89" s="62"/>
      <c r="R89" s="63"/>
      <c r="S89" s="62"/>
      <c r="T89" s="62"/>
      <c r="U89" s="46"/>
    </row>
    <row r="90" spans="1:21" s="47" customFormat="1" ht="18" customHeight="1" x14ac:dyDescent="0.35">
      <c r="A90" s="46"/>
      <c r="B90" s="101" t="s">
        <v>31</v>
      </c>
      <c r="C90" s="102">
        <f>(C89*(1+WACC)^0.5)/C88</f>
        <v>101.58216629801004</v>
      </c>
      <c r="D90" s="49"/>
      <c r="M90" s="49"/>
      <c r="N90" s="64"/>
      <c r="O90" s="62"/>
      <c r="P90" s="65"/>
      <c r="Q90" s="65"/>
      <c r="R90" s="65"/>
      <c r="S90" s="65"/>
      <c r="T90" s="65"/>
      <c r="U90" s="46"/>
    </row>
    <row r="91" spans="1:21" s="47" customFormat="1" ht="18" customHeight="1" x14ac:dyDescent="0.35">
      <c r="A91" s="46"/>
      <c r="B91" s="100" t="s">
        <v>9</v>
      </c>
      <c r="C91" s="103">
        <f>K72+0.5</f>
        <v>5.5</v>
      </c>
      <c r="D91" s="55"/>
      <c r="M91" s="49"/>
      <c r="N91" s="64"/>
      <c r="O91" s="62"/>
      <c r="P91" s="65"/>
      <c r="Q91" s="65"/>
      <c r="R91" s="65"/>
      <c r="S91" s="65"/>
      <c r="T91" s="65"/>
      <c r="U91" s="46"/>
    </row>
    <row r="92" spans="1:21" s="47" customFormat="1" ht="18" customHeight="1" x14ac:dyDescent="0.35">
      <c r="A92" s="46"/>
      <c r="B92" s="100" t="s">
        <v>10</v>
      </c>
      <c r="C92" s="103">
        <f>1/((1+WACC)^C91)</f>
        <v>0.89704896071358642</v>
      </c>
      <c r="D92" s="51"/>
      <c r="M92" s="49"/>
      <c r="N92" s="64"/>
      <c r="O92" s="63"/>
      <c r="P92" s="65"/>
      <c r="Q92" s="65"/>
      <c r="R92" s="66"/>
      <c r="S92" s="65"/>
      <c r="T92" s="65"/>
      <c r="U92" s="46"/>
    </row>
    <row r="93" spans="1:21" s="47" customFormat="1" ht="18" customHeight="1" x14ac:dyDescent="0.35">
      <c r="A93" s="46"/>
      <c r="B93" s="97" t="s">
        <v>42</v>
      </c>
      <c r="C93" s="95">
        <f>C89*C92</f>
        <v>97308.966921848696</v>
      </c>
      <c r="D93" s="49"/>
      <c r="M93" s="49"/>
      <c r="N93" s="64"/>
      <c r="O93" s="62"/>
      <c r="P93" s="65"/>
      <c r="Q93" s="65"/>
      <c r="R93" s="65"/>
      <c r="S93" s="65"/>
      <c r="T93" s="65"/>
      <c r="U93" s="46"/>
    </row>
    <row r="94" spans="1:21" s="47" customFormat="1" ht="18" customHeight="1" x14ac:dyDescent="0.35">
      <c r="A94" s="46"/>
      <c r="B94" s="98" t="s">
        <v>16</v>
      </c>
      <c r="C94" s="99">
        <f>C93/'Discounted Cash Flow - BLANK'!C77</f>
        <v>0.94881118427810152</v>
      </c>
      <c r="D94" s="49"/>
      <c r="M94" s="49"/>
      <c r="N94" s="64"/>
      <c r="O94" s="62"/>
      <c r="P94" s="65"/>
      <c r="Q94" s="65"/>
      <c r="R94" s="65"/>
      <c r="S94" s="65"/>
      <c r="T94" s="65"/>
      <c r="U94" s="46"/>
    </row>
    <row r="95" spans="1:21" x14ac:dyDescent="0.35">
      <c r="A95" s="22"/>
      <c r="B95" s="15"/>
      <c r="C95" s="17"/>
      <c r="D95" s="12"/>
      <c r="L95" s="21"/>
      <c r="M95" s="14"/>
      <c r="N95" s="22"/>
      <c r="O95" s="22"/>
      <c r="P95" s="22"/>
      <c r="Q95" s="22"/>
      <c r="R95" s="22"/>
      <c r="S95" s="22"/>
      <c r="T95" s="22"/>
      <c r="U95" s="22"/>
    </row>
    <row r="96" spans="1:21" x14ac:dyDescent="0.35">
      <c r="A96" s="23"/>
      <c r="D96" s="13"/>
      <c r="L96" s="21"/>
      <c r="M96" s="34"/>
    </row>
    <row r="97" spans="1:13" x14ac:dyDescent="0.35">
      <c r="A97" s="23"/>
      <c r="D97" s="13"/>
      <c r="L97" s="21"/>
      <c r="M97" s="36"/>
    </row>
    <row r="98" spans="1:13" x14ac:dyDescent="0.35">
      <c r="A98" s="23"/>
      <c r="D98" s="13"/>
      <c r="L98" s="21"/>
      <c r="M98" s="36"/>
    </row>
    <row r="99" spans="1:13" x14ac:dyDescent="0.35">
      <c r="D99" s="13"/>
      <c r="L99" s="21"/>
      <c r="M99" s="36"/>
    </row>
    <row r="100" spans="1:13" ht="12.5" x14ac:dyDescent="0.35">
      <c r="B100" s="32"/>
      <c r="C100" s="31"/>
      <c r="D100" s="13"/>
      <c r="L100" s="21"/>
      <c r="M100" s="36"/>
    </row>
    <row r="101" spans="1:13" x14ac:dyDescent="0.35">
      <c r="D101" s="13"/>
      <c r="L101" s="21"/>
      <c r="M101" s="36"/>
    </row>
    <row r="102" spans="1:13" x14ac:dyDescent="0.35">
      <c r="D102" s="13"/>
      <c r="L102" s="21"/>
      <c r="M102" s="36"/>
    </row>
    <row r="103" spans="1:13" x14ac:dyDescent="0.35">
      <c r="D103" s="13"/>
      <c r="E103" s="35"/>
      <c r="F103" s="34"/>
      <c r="G103" s="34"/>
      <c r="H103" s="36"/>
      <c r="I103" s="36"/>
      <c r="J103" s="36"/>
      <c r="K103" s="36"/>
      <c r="L103" s="36"/>
      <c r="M103" s="36"/>
    </row>
    <row r="104" spans="1:13" x14ac:dyDescent="0.35">
      <c r="D104" s="10"/>
      <c r="E104" s="37"/>
      <c r="F104" s="37"/>
      <c r="G104" s="38"/>
      <c r="H104" s="39"/>
      <c r="I104" s="39"/>
      <c r="J104" s="39"/>
      <c r="K104" s="39"/>
      <c r="L104" s="40"/>
      <c r="M104" s="40"/>
    </row>
    <row r="105" spans="1:13" x14ac:dyDescent="0.35">
      <c r="D105" s="23"/>
      <c r="E105" s="28"/>
      <c r="F105" s="28"/>
      <c r="G105" s="28"/>
      <c r="H105" s="41"/>
      <c r="I105" s="41"/>
      <c r="J105" s="41"/>
      <c r="K105" s="41"/>
      <c r="L105" s="42"/>
      <c r="M105" s="42"/>
    </row>
    <row r="106" spans="1:13" x14ac:dyDescent="0.35">
      <c r="D106" s="23"/>
      <c r="E106" s="28"/>
      <c r="F106" s="28"/>
      <c r="G106" s="28"/>
      <c r="H106" s="41"/>
      <c r="I106" s="41"/>
      <c r="J106" s="41"/>
      <c r="K106" s="41"/>
      <c r="L106" s="42"/>
      <c r="M106" s="42"/>
    </row>
    <row r="107" spans="1:13" x14ac:dyDescent="0.35">
      <c r="B107" s="19"/>
      <c r="C107" s="24"/>
      <c r="D107" s="23"/>
      <c r="E107" s="23"/>
      <c r="F107" s="23"/>
      <c r="G107" s="23"/>
    </row>
    <row r="112" spans="1:13" x14ac:dyDescent="0.35">
      <c r="B112" s="19"/>
      <c r="C112" s="16"/>
    </row>
    <row r="113" spans="2:20" s="26" customFormat="1" x14ac:dyDescent="0.35">
      <c r="D113" s="21"/>
      <c r="E113" s="21"/>
      <c r="F113" s="21"/>
      <c r="G113" s="21"/>
      <c r="H113" s="21"/>
      <c r="I113" s="21"/>
      <c r="J113" s="21"/>
      <c r="K113" s="21"/>
      <c r="L113" s="27"/>
      <c r="M113" s="27"/>
      <c r="N113" s="21"/>
      <c r="O113" s="21"/>
      <c r="P113" s="21"/>
      <c r="Q113" s="21"/>
      <c r="R113" s="21"/>
      <c r="S113" s="21"/>
      <c r="T113" s="21"/>
    </row>
    <row r="114" spans="2:20" s="26" customFormat="1" x14ac:dyDescent="0.35">
      <c r="B114" s="20"/>
      <c r="C114" s="18"/>
      <c r="D114" s="21"/>
      <c r="E114" s="21"/>
      <c r="F114" s="21"/>
      <c r="G114" s="21"/>
      <c r="H114" s="21"/>
      <c r="I114" s="21"/>
      <c r="J114" s="21"/>
      <c r="K114" s="21"/>
      <c r="L114" s="27"/>
      <c r="M114" s="27"/>
    </row>
    <row r="115" spans="2:20" x14ac:dyDescent="0.35">
      <c r="C115" s="33"/>
      <c r="N115" s="26"/>
      <c r="O115" s="26"/>
      <c r="P115" s="26"/>
      <c r="Q115" s="26"/>
      <c r="R115" s="26"/>
      <c r="S115" s="26"/>
      <c r="T115" s="26"/>
    </row>
    <row r="116" spans="2:20" x14ac:dyDescent="0.35">
      <c r="C116" s="18"/>
      <c r="D116" s="2"/>
      <c r="E116" s="2"/>
      <c r="F116" s="2"/>
    </row>
    <row r="117" spans="2:20" x14ac:dyDescent="0.35">
      <c r="C117" s="18"/>
      <c r="D117" s="2"/>
      <c r="E117" s="2"/>
      <c r="F117" s="2"/>
    </row>
    <row r="118" spans="2:20" x14ac:dyDescent="0.35">
      <c r="C118" s="18"/>
      <c r="D118" s="2"/>
      <c r="E118" s="2"/>
      <c r="F118" s="2"/>
      <c r="L118" s="2"/>
      <c r="M118" s="2"/>
    </row>
    <row r="119" spans="2:20" x14ac:dyDescent="0.35">
      <c r="C119" s="25"/>
      <c r="D119" s="4"/>
      <c r="E119" s="4"/>
      <c r="F119" s="4"/>
      <c r="G119" s="4"/>
      <c r="H119" s="4"/>
      <c r="I119" s="4"/>
      <c r="J119" s="4"/>
      <c r="K119" s="4"/>
      <c r="L119" s="4"/>
      <c r="M119" s="4"/>
    </row>
    <row r="120" spans="2:20" x14ac:dyDescent="0.35">
      <c r="B120" s="1"/>
      <c r="C120" s="5"/>
      <c r="D120" s="5"/>
      <c r="E120" s="5"/>
      <c r="F120" s="5"/>
      <c r="L120" s="5"/>
      <c r="M120" s="5"/>
    </row>
    <row r="121" spans="2:20" x14ac:dyDescent="0.35">
      <c r="B121" s="248"/>
      <c r="C121" s="6"/>
      <c r="D121" s="6"/>
      <c r="E121" s="6"/>
      <c r="F121" s="6"/>
      <c r="L121" s="6"/>
      <c r="M121" s="6"/>
    </row>
    <row r="122" spans="2:20" x14ac:dyDescent="0.35">
      <c r="B122" s="248"/>
      <c r="C122" s="5"/>
      <c r="D122" s="5"/>
      <c r="E122" s="5"/>
      <c r="F122" s="5"/>
      <c r="L122" s="5"/>
      <c r="M122" s="5"/>
    </row>
    <row r="123" spans="2:20" x14ac:dyDescent="0.35">
      <c r="B123" s="44"/>
      <c r="C123" s="2"/>
      <c r="D123" s="2"/>
      <c r="E123" s="2"/>
      <c r="F123" s="2"/>
      <c r="L123" s="2"/>
      <c r="M123" s="2"/>
    </row>
    <row r="124" spans="2:20" x14ac:dyDescent="0.35">
      <c r="B124" s="44"/>
      <c r="C124" s="2"/>
      <c r="D124" s="2"/>
      <c r="E124" s="2"/>
      <c r="F124" s="2"/>
      <c r="L124" s="2"/>
      <c r="M124" s="2"/>
    </row>
    <row r="125" spans="2:20" x14ac:dyDescent="0.35">
      <c r="B125" s="44"/>
      <c r="C125" s="7"/>
      <c r="D125" s="7"/>
      <c r="E125" s="7"/>
      <c r="F125" s="7"/>
      <c r="L125" s="7"/>
      <c r="M125" s="7"/>
    </row>
    <row r="126" spans="2:20" s="26" customFormat="1" x14ac:dyDescent="0.35">
      <c r="B126" s="44"/>
      <c r="C126" s="2"/>
      <c r="D126" s="2"/>
      <c r="E126" s="2"/>
      <c r="F126" s="2"/>
      <c r="G126" s="21"/>
      <c r="H126" s="21"/>
      <c r="I126" s="21"/>
      <c r="J126" s="21"/>
      <c r="K126" s="21"/>
      <c r="L126" s="2"/>
      <c r="M126" s="2"/>
      <c r="N126" s="21"/>
      <c r="O126" s="21"/>
      <c r="P126" s="21"/>
      <c r="Q126" s="21"/>
      <c r="R126" s="21"/>
      <c r="S126" s="21"/>
      <c r="T126" s="21"/>
    </row>
    <row r="127" spans="2:20" x14ac:dyDescent="0.35">
      <c r="B127" s="44"/>
      <c r="C127" s="2"/>
      <c r="D127" s="2"/>
      <c r="E127" s="2"/>
      <c r="F127" s="2"/>
      <c r="L127" s="2"/>
      <c r="M127" s="2"/>
      <c r="N127" s="26"/>
      <c r="O127" s="26"/>
      <c r="P127" s="26"/>
      <c r="Q127" s="26"/>
      <c r="R127" s="26"/>
      <c r="S127" s="26"/>
      <c r="T127" s="26"/>
    </row>
    <row r="128" spans="2:20" x14ac:dyDescent="0.35">
      <c r="B128" s="44"/>
      <c r="C128" s="2"/>
      <c r="D128" s="2"/>
      <c r="E128" s="2"/>
      <c r="F128" s="2"/>
      <c r="L128" s="2"/>
      <c r="M128" s="2"/>
    </row>
    <row r="130" spans="2:13" x14ac:dyDescent="0.35">
      <c r="B130" s="3"/>
      <c r="C130" s="8"/>
      <c r="D130" s="8"/>
      <c r="E130" s="8"/>
      <c r="F130" s="8"/>
      <c r="L130" s="8"/>
      <c r="M130" s="8"/>
    </row>
    <row r="131" spans="2:13" x14ac:dyDescent="0.35">
      <c r="B131" s="1"/>
      <c r="C131" s="5"/>
      <c r="D131" s="5"/>
      <c r="E131" s="5"/>
      <c r="F131" s="5"/>
      <c r="L131" s="5"/>
      <c r="M131" s="5"/>
    </row>
    <row r="132" spans="2:13" x14ac:dyDescent="0.35">
      <c r="B132" s="248"/>
      <c r="C132" s="6"/>
      <c r="D132" s="6"/>
      <c r="E132" s="6"/>
      <c r="F132" s="6"/>
      <c r="L132" s="6"/>
      <c r="M132" s="6"/>
    </row>
    <row r="133" spans="2:13" x14ac:dyDescent="0.35">
      <c r="B133" s="248"/>
      <c r="C133" s="5"/>
      <c r="D133" s="5"/>
      <c r="E133" s="5"/>
      <c r="F133" s="5"/>
      <c r="L133" s="5"/>
      <c r="M133" s="5"/>
    </row>
    <row r="134" spans="2:13" x14ac:dyDescent="0.35">
      <c r="B134" s="44"/>
      <c r="C134" s="2"/>
      <c r="D134" s="2"/>
      <c r="E134" s="2"/>
      <c r="F134" s="2"/>
      <c r="L134" s="2"/>
      <c r="M134" s="2"/>
    </row>
    <row r="136" spans="2:13" x14ac:dyDescent="0.35">
      <c r="B136" s="44"/>
      <c r="C136" s="2"/>
      <c r="D136" s="2"/>
      <c r="E136" s="2"/>
      <c r="F136" s="2"/>
      <c r="L136" s="2"/>
      <c r="M136" s="2"/>
    </row>
    <row r="137" spans="2:13" x14ac:dyDescent="0.35">
      <c r="B137" s="44"/>
      <c r="C137" s="2"/>
      <c r="D137" s="2"/>
      <c r="E137" s="2"/>
      <c r="F137" s="2"/>
      <c r="L137" s="2"/>
      <c r="M137" s="2"/>
    </row>
    <row r="138" spans="2:13" x14ac:dyDescent="0.35">
      <c r="B138" s="44"/>
      <c r="C138" s="2"/>
      <c r="D138" s="2"/>
      <c r="E138" s="2"/>
      <c r="F138" s="2"/>
      <c r="L138" s="2"/>
      <c r="M138" s="2"/>
    </row>
    <row r="139" spans="2:13" x14ac:dyDescent="0.35">
      <c r="B139" s="44"/>
      <c r="C139" s="2"/>
      <c r="D139" s="2"/>
      <c r="E139" s="2"/>
      <c r="F139" s="2"/>
      <c r="L139" s="2"/>
      <c r="M139" s="2"/>
    </row>
    <row r="140" spans="2:13" x14ac:dyDescent="0.35">
      <c r="B140" s="44"/>
      <c r="C140" s="2"/>
      <c r="D140" s="2"/>
      <c r="E140" s="2"/>
      <c r="F140" s="2"/>
      <c r="L140" s="2"/>
      <c r="M140" s="2"/>
    </row>
    <row r="141" spans="2:13" x14ac:dyDescent="0.35">
      <c r="B141" s="44"/>
      <c r="C141" s="2"/>
      <c r="D141" s="2"/>
      <c r="E141" s="2"/>
      <c r="F141" s="2"/>
      <c r="L141" s="2"/>
      <c r="M141" s="2"/>
    </row>
    <row r="142" spans="2:13" x14ac:dyDescent="0.35">
      <c r="B142" s="44"/>
      <c r="C142" s="2"/>
      <c r="D142" s="2"/>
      <c r="E142" s="2"/>
      <c r="F142" s="2"/>
      <c r="L142" s="2"/>
      <c r="M142" s="2"/>
    </row>
    <row r="143" spans="2:13" x14ac:dyDescent="0.35">
      <c r="B143" s="9"/>
      <c r="C143" s="6"/>
      <c r="D143" s="6"/>
      <c r="E143" s="6"/>
      <c r="F143" s="6"/>
      <c r="L143" s="6"/>
      <c r="M143" s="6"/>
    </row>
    <row r="144" spans="2:13" x14ac:dyDescent="0.35">
      <c r="B144" s="3"/>
      <c r="C144" s="8"/>
      <c r="D144" s="8"/>
      <c r="E144" s="8"/>
      <c r="F144" s="8"/>
      <c r="L144" s="8"/>
      <c r="M144" s="8"/>
    </row>
    <row r="145" spans="2:13" x14ac:dyDescent="0.35">
      <c r="B145" s="1"/>
      <c r="C145" s="5"/>
      <c r="D145" s="5"/>
      <c r="E145" s="5"/>
      <c r="F145" s="5"/>
      <c r="L145" s="5"/>
      <c r="M145" s="5"/>
    </row>
    <row r="146" spans="2:13" x14ac:dyDescent="0.35">
      <c r="B146" s="248"/>
      <c r="C146" s="6"/>
      <c r="D146" s="6"/>
      <c r="E146" s="6"/>
      <c r="F146" s="6"/>
      <c r="L146" s="6"/>
      <c r="M146" s="6"/>
    </row>
    <row r="147" spans="2:13" x14ac:dyDescent="0.35">
      <c r="B147" s="248"/>
      <c r="C147" s="5"/>
      <c r="D147" s="5"/>
      <c r="E147" s="5"/>
      <c r="F147" s="5"/>
      <c r="L147" s="5"/>
      <c r="M147" s="5"/>
    </row>
    <row r="148" spans="2:13" x14ac:dyDescent="0.35">
      <c r="B148" s="44"/>
      <c r="C148" s="6"/>
      <c r="D148" s="6"/>
      <c r="E148" s="6"/>
      <c r="F148" s="6"/>
      <c r="L148" s="6"/>
      <c r="M148" s="6"/>
    </row>
    <row r="149" spans="2:13" x14ac:dyDescent="0.35">
      <c r="B149" s="44"/>
      <c r="C149" s="6"/>
      <c r="D149" s="6"/>
      <c r="E149" s="6"/>
      <c r="F149" s="6"/>
      <c r="L149" s="6"/>
      <c r="M149" s="6"/>
    </row>
    <row r="150" spans="2:13" x14ac:dyDescent="0.35">
      <c r="B150" s="44"/>
      <c r="C150" s="6"/>
      <c r="D150" s="6"/>
      <c r="E150" s="6"/>
      <c r="F150" s="6"/>
      <c r="L150" s="6"/>
      <c r="M150" s="6"/>
    </row>
    <row r="151" spans="2:13" x14ac:dyDescent="0.35">
      <c r="B151" s="44"/>
      <c r="C151" s="6"/>
      <c r="D151" s="6"/>
      <c r="E151" s="6"/>
      <c r="F151" s="6"/>
      <c r="L151" s="6"/>
      <c r="M151" s="6"/>
    </row>
    <row r="152" spans="2:13" x14ac:dyDescent="0.35">
      <c r="B152" s="44"/>
      <c r="C152" s="6"/>
      <c r="D152" s="6"/>
      <c r="E152" s="6"/>
      <c r="F152" s="6"/>
      <c r="L152" s="6"/>
      <c r="M152" s="6"/>
    </row>
    <row r="153" spans="2:13" x14ac:dyDescent="0.35">
      <c r="B153" s="44"/>
      <c r="C153" s="6"/>
      <c r="D153" s="6"/>
      <c r="E153" s="6"/>
      <c r="F153" s="6"/>
      <c r="L153" s="6"/>
      <c r="M153" s="6"/>
    </row>
    <row r="154" spans="2:13" x14ac:dyDescent="0.35">
      <c r="B154" s="44"/>
      <c r="C154" s="6"/>
      <c r="D154" s="6"/>
      <c r="E154" s="6"/>
      <c r="F154" s="6"/>
      <c r="L154" s="6"/>
      <c r="M154" s="6"/>
    </row>
    <row r="155" spans="2:13" x14ac:dyDescent="0.35">
      <c r="B155" s="44"/>
      <c r="C155" s="6"/>
      <c r="D155" s="6"/>
      <c r="E155" s="6"/>
      <c r="F155" s="6"/>
      <c r="L155" s="6"/>
      <c r="M155" s="6"/>
    </row>
    <row r="156" spans="2:13" x14ac:dyDescent="0.35">
      <c r="B156" s="44"/>
      <c r="C156" s="6"/>
      <c r="D156" s="6"/>
      <c r="E156" s="6"/>
      <c r="F156" s="6"/>
      <c r="L156" s="6"/>
      <c r="M156" s="6"/>
    </row>
    <row r="157" spans="2:13" x14ac:dyDescent="0.35">
      <c r="B157" s="44"/>
      <c r="C157" s="6"/>
      <c r="D157" s="6"/>
      <c r="E157" s="6"/>
      <c r="F157" s="6"/>
      <c r="L157" s="6"/>
      <c r="M157" s="6"/>
    </row>
    <row r="158" spans="2:13" x14ac:dyDescent="0.35">
      <c r="B158" s="44"/>
      <c r="C158" s="6"/>
      <c r="D158" s="6"/>
      <c r="E158" s="6"/>
      <c r="F158" s="6"/>
      <c r="L158" s="6"/>
      <c r="M158" s="6"/>
    </row>
    <row r="159" spans="2:13" x14ac:dyDescent="0.35">
      <c r="B159" s="44"/>
      <c r="C159" s="6"/>
      <c r="D159" s="6"/>
      <c r="E159" s="6"/>
      <c r="F159" s="6"/>
      <c r="L159" s="6"/>
      <c r="M159" s="6"/>
    </row>
    <row r="160" spans="2:13" x14ac:dyDescent="0.35">
      <c r="B160" s="44"/>
      <c r="C160" s="6"/>
      <c r="D160" s="6"/>
      <c r="E160" s="6"/>
      <c r="F160" s="6"/>
      <c r="L160" s="6"/>
      <c r="M160" s="6"/>
    </row>
    <row r="161" spans="2:13" x14ac:dyDescent="0.35">
      <c r="B161" s="44"/>
      <c r="C161" s="6"/>
      <c r="D161" s="6"/>
      <c r="E161" s="6"/>
      <c r="F161" s="6"/>
      <c r="L161" s="6"/>
      <c r="M161" s="6"/>
    </row>
    <row r="162" spans="2:13" x14ac:dyDescent="0.35">
      <c r="B162" s="44"/>
      <c r="C162" s="6"/>
      <c r="D162" s="6"/>
      <c r="E162" s="6"/>
      <c r="F162" s="6"/>
      <c r="L162" s="6"/>
      <c r="M162" s="6"/>
    </row>
    <row r="163" spans="2:13" x14ac:dyDescent="0.35">
      <c r="B163" s="44"/>
      <c r="C163" s="6"/>
      <c r="D163" s="6"/>
      <c r="E163" s="6"/>
      <c r="F163" s="6"/>
      <c r="L163" s="6"/>
      <c r="M163" s="6"/>
    </row>
  </sheetData>
  <mergeCells count="7">
    <mergeCell ref="B132:B133"/>
    <mergeCell ref="B146:B147"/>
    <mergeCell ref="B3:C3"/>
    <mergeCell ref="P65:T65"/>
    <mergeCell ref="N87:T87"/>
    <mergeCell ref="P88:T88"/>
    <mergeCell ref="B121:B122"/>
  </mergeCells>
  <pageMargins left="0.3" right="0.3" top="0.3" bottom="0.3" header="0" footer="0"/>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C16B3-D756-7446-A0D0-4724AC4D6216}">
  <sheetPr>
    <tabColor theme="1"/>
  </sheetPr>
  <dimension ref="B1:B2"/>
  <sheetViews>
    <sheetView showGridLines="0" workbookViewId="0">
      <selection activeCell="W47" sqref="W47"/>
    </sheetView>
  </sheetViews>
  <sheetFormatPr defaultColWidth="10.81640625" defaultRowHeight="14.5" x14ac:dyDescent="0.35"/>
  <cols>
    <col min="1" max="1" width="3.36328125" style="244" customWidth="1"/>
    <col min="2" max="2" width="88.36328125" style="244" customWidth="1"/>
    <col min="3" max="16384" width="10.81640625" style="244"/>
  </cols>
  <sheetData>
    <row r="1" spans="2:2" ht="20" customHeight="1" x14ac:dyDescent="0.35"/>
    <row r="2" spans="2:2" ht="105" customHeight="1" x14ac:dyDescent="0.35">
      <c r="B2" s="245" t="s">
        <v>87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Discounted Cash Flow - EX</vt:lpstr>
      <vt:lpstr>Discounted Cash Flow - BLANK</vt:lpstr>
      <vt:lpstr>- Disclaimer -</vt:lpstr>
      <vt:lpstr>'Discounted Cash Flow - BLANK'!EV</vt:lpstr>
      <vt:lpstr>EV</vt:lpstr>
      <vt:lpstr>'Discounted Cash Flow - BLANK'!WACC</vt:lpstr>
      <vt:lpstr>WACC</vt:lpstr>
      <vt:lpstr>'Discounted Cash Flow - BLANK'!Область_печати</vt:lpstr>
      <vt:lpstr>'Discounted Cash Flow - EX'!Область_печати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2018-03-19T10:29:42Z</dcterms:created>
  <dcterms:modified xsi:type="dcterms:W3CDTF">2020-02-10T18:04:38Z</dcterms:modified>
  <cp:category/>
</cp:coreProperties>
</file>